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drawings/drawing1.xml" ContentType="application/vnd.openxmlformats-officedocument.drawing+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filterPrivacy="1"/>
  <xr:revisionPtr revIDLastSave="0" documentId="8_{C09C140F-02A1-4450-BB7F-6D4930EFEA21}" xr6:coauthVersionLast="47" xr6:coauthVersionMax="47" xr10:uidLastSave="{00000000-0000-0000-0000-000000000000}"/>
  <bookViews>
    <workbookView xWindow="-120" yWindow="-120" windowWidth="20730" windowHeight="11160" activeTab="1" xr2:uid="{00000000-000D-0000-FFFF-FFFF00000000}"/>
  </bookViews>
  <sheets>
    <sheet name="Expenses" sheetId="1" r:id="rId1"/>
    <sheet name="Income" sheetId="2" r:id="rId2"/>
    <sheet name="Profit &amp; Loss Summary" sheetId="3" r:id="rId3"/>
  </sheets>
  <definedNames>
    <definedName name="_xlnm.Print_Area" localSheetId="2">'Profit &amp; Loss Summary'!$A:$H</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 i="3" l="1"/>
  <c r="B2" i="2"/>
  <c r="G31" i="2"/>
  <c r="G32" i="2"/>
  <c r="G33" i="2"/>
  <c r="G34" i="2"/>
  <c r="G35" i="2"/>
  <c r="O19" i="3"/>
  <c r="P19" i="3"/>
  <c r="F31" i="2"/>
  <c r="F32" i="2"/>
  <c r="F33" i="2"/>
  <c r="F34" i="2"/>
  <c r="F35" i="2"/>
  <c r="N19" i="3"/>
  <c r="G17" i="2"/>
  <c r="G18" i="2"/>
  <c r="G19" i="2"/>
  <c r="G20" i="2"/>
  <c r="O17" i="3"/>
  <c r="P17" i="3"/>
  <c r="F17" i="2"/>
  <c r="F18" i="2"/>
  <c r="F19" i="2"/>
  <c r="F20" i="2"/>
  <c r="N17" i="3"/>
  <c r="G10" i="2"/>
  <c r="G11" i="2"/>
  <c r="G12" i="2"/>
  <c r="G13" i="2"/>
  <c r="O16" i="3"/>
  <c r="P16" i="3"/>
  <c r="F10" i="2"/>
  <c r="F11" i="2"/>
  <c r="F12" i="2"/>
  <c r="F13" i="2"/>
  <c r="N16" i="3"/>
  <c r="C14" i="1"/>
  <c r="N6" i="3"/>
  <c r="C22" i="1"/>
  <c r="N7" i="3"/>
  <c r="C29" i="1"/>
  <c r="N8" i="3"/>
  <c r="G11" i="1"/>
  <c r="N9" i="3"/>
  <c r="G17" i="1"/>
  <c r="N10" i="3"/>
  <c r="G22" i="1"/>
  <c r="N11" i="3"/>
  <c r="G29" i="1"/>
  <c r="N12" i="3"/>
  <c r="D14" i="1"/>
  <c r="H29" i="1"/>
  <c r="H22" i="1"/>
  <c r="H17" i="1"/>
  <c r="H11" i="1"/>
  <c r="D29" i="1"/>
  <c r="D35" i="2"/>
  <c r="C35" i="2"/>
  <c r="D27" i="2"/>
  <c r="C27" i="2"/>
  <c r="D20" i="2"/>
  <c r="C20" i="2"/>
  <c r="D13" i="2"/>
  <c r="C13" i="2"/>
  <c r="O12" i="3"/>
  <c r="O11" i="3"/>
  <c r="O10" i="3"/>
  <c r="O9" i="3"/>
  <c r="D22" i="1"/>
  <c r="O7" i="3"/>
  <c r="O8" i="3"/>
  <c r="O6" i="3"/>
  <c r="P6" i="3"/>
  <c r="P7" i="3"/>
  <c r="P12" i="3"/>
  <c r="P8" i="3"/>
  <c r="P9" i="3"/>
  <c r="P11" i="3"/>
  <c r="P10" i="3"/>
  <c r="C6" i="1"/>
  <c r="D6" i="1"/>
  <c r="F24" i="2"/>
  <c r="F25" i="2"/>
  <c r="F26" i="2"/>
  <c r="G24" i="2"/>
  <c r="G25" i="2"/>
  <c r="G26" i="2"/>
  <c r="L8" i="3"/>
  <c r="L11" i="3"/>
  <c r="L7" i="3"/>
  <c r="L10" i="3"/>
  <c r="L9" i="3"/>
  <c r="L12" i="3"/>
  <c r="L6" i="3"/>
  <c r="F27" i="2"/>
  <c r="N18" i="3"/>
  <c r="G27" i="2"/>
  <c r="O18" i="3"/>
  <c r="P18" i="3"/>
  <c r="L18" i="3"/>
  <c r="L19" i="3"/>
  <c r="L17" i="3"/>
  <c r="L16" i="3"/>
  <c r="D12" i="3"/>
  <c r="D8" i="3"/>
  <c r="C11" i="3"/>
  <c r="C7" i="3"/>
  <c r="B10" i="3"/>
  <c r="B6" i="3"/>
  <c r="D9" i="3"/>
  <c r="B11" i="3"/>
  <c r="D11" i="3"/>
  <c r="D7" i="3"/>
  <c r="C10" i="3"/>
  <c r="C6" i="3"/>
  <c r="B9" i="3"/>
  <c r="C12" i="3"/>
  <c r="B7" i="3"/>
  <c r="D10" i="3"/>
  <c r="D6" i="3"/>
  <c r="C9" i="3"/>
  <c r="B12" i="3"/>
  <c r="B8" i="3"/>
  <c r="C8" i="3"/>
  <c r="C6" i="2"/>
  <c r="D6" i="2"/>
  <c r="C13" i="3"/>
  <c r="C24" i="3"/>
  <c r="D17" i="3"/>
  <c r="B18" i="3"/>
  <c r="D16" i="3"/>
  <c r="C16" i="3"/>
  <c r="D19" i="3"/>
  <c r="B16" i="3"/>
  <c r="C19" i="3"/>
  <c r="D18" i="3"/>
  <c r="C17" i="3"/>
  <c r="B19" i="3"/>
  <c r="B17" i="3"/>
  <c r="C18" i="3"/>
  <c r="D13" i="3"/>
  <c r="D24" i="3"/>
  <c r="C20" i="3"/>
  <c r="C23" i="3"/>
  <c r="C25" i="3"/>
  <c r="D20" i="3"/>
  <c r="D23" i="3"/>
  <c r="D25" i="3"/>
</calcChain>
</file>

<file path=xl/sharedStrings.xml><?xml version="1.0" encoding="utf-8"?>
<sst xmlns="http://schemas.openxmlformats.org/spreadsheetml/2006/main" count="152" uniqueCount="74">
  <si>
    <t>Room and hall fees</t>
  </si>
  <si>
    <t>Site staff</t>
  </si>
  <si>
    <t>Equipment</t>
  </si>
  <si>
    <t>Tables and chairs</t>
  </si>
  <si>
    <t>Estimated</t>
  </si>
  <si>
    <t>Actual</t>
  </si>
  <si>
    <t>Refreshments</t>
  </si>
  <si>
    <t>Food</t>
  </si>
  <si>
    <t>Drinks</t>
  </si>
  <si>
    <t>Linens</t>
  </si>
  <si>
    <t>Staff and gratuities</t>
  </si>
  <si>
    <t>Site</t>
  </si>
  <si>
    <t>Decorations</t>
  </si>
  <si>
    <t>Flowers</t>
  </si>
  <si>
    <t>Candles</t>
  </si>
  <si>
    <t>Lighting</t>
  </si>
  <si>
    <t>Balloons</t>
  </si>
  <si>
    <t>Paper supplies</t>
  </si>
  <si>
    <t>Performers</t>
  </si>
  <si>
    <t>Speakers</t>
  </si>
  <si>
    <t>Travel</t>
  </si>
  <si>
    <t>Hotel</t>
  </si>
  <si>
    <t>Program</t>
  </si>
  <si>
    <t>Publicity</t>
  </si>
  <si>
    <t>Graphics work</t>
  </si>
  <si>
    <t>Postage</t>
  </si>
  <si>
    <t>Prizes</t>
  </si>
  <si>
    <t>Gifts</t>
  </si>
  <si>
    <t>Miscellaneous</t>
  </si>
  <si>
    <t>Telephone</t>
  </si>
  <si>
    <t>Transportation</t>
  </si>
  <si>
    <t>Stationery supplies</t>
  </si>
  <si>
    <t>Fax services</t>
  </si>
  <si>
    <t>Other</t>
  </si>
  <si>
    <t>Total</t>
  </si>
  <si>
    <t>Type</t>
  </si>
  <si>
    <t>Estimated Income</t>
  </si>
  <si>
    <t>Actual Income</t>
  </si>
  <si>
    <t>Price</t>
  </si>
  <si>
    <t>Event Name</t>
  </si>
  <si>
    <t xml:space="preserve"> </t>
  </si>
  <si>
    <t>Expenses Details</t>
  </si>
  <si>
    <t>Ribbons / Trophies</t>
  </si>
  <si>
    <t>Photocopying / Printing</t>
  </si>
  <si>
    <t>Total Expenses</t>
  </si>
  <si>
    <t>Income Details</t>
  </si>
  <si>
    <t>Total Income</t>
  </si>
  <si>
    <t>Admissions</t>
  </si>
  <si>
    <t>Ads in Program</t>
  </si>
  <si>
    <t>Exhibitors / Vendors</t>
  </si>
  <si>
    <t>Adults</t>
  </si>
  <si>
    <t>Children</t>
  </si>
  <si>
    <t>Covers</t>
  </si>
  <si>
    <t>Half-pages</t>
  </si>
  <si>
    <t>Quarter-pages</t>
  </si>
  <si>
    <t>Large booths</t>
  </si>
  <si>
    <t>Med. booths</t>
  </si>
  <si>
    <t>Small booths</t>
  </si>
  <si>
    <t>Item 1</t>
  </si>
  <si>
    <t>Item 2</t>
  </si>
  <si>
    <t>Item 3</t>
  </si>
  <si>
    <t>Item 4</t>
  </si>
  <si>
    <t>Sales of Items</t>
  </si>
  <si>
    <t>Profit &amp; Loss Summary</t>
  </si>
  <si>
    <t>Expenses Summary</t>
  </si>
  <si>
    <t>Ranking</t>
  </si>
  <si>
    <t>Expenses</t>
  </si>
  <si>
    <t>Income Summary</t>
  </si>
  <si>
    <t>Income</t>
  </si>
  <si>
    <t>Ranking Value</t>
  </si>
  <si>
    <t>Profit or (Loss)</t>
  </si>
  <si>
    <t>Actual Expenses</t>
  </si>
  <si>
    <t>Expenses to Profit (Loss) Ratio</t>
  </si>
  <si>
    <t>Estimated vs Actual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</si>
</sst>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6" formatCode="&quot;$&quot;#,##0_);[Red]\(&quot;$&quot;#,##0\)"/>
    <numFmt numFmtId="7" formatCode="&quot;$&quot;#,##0.00_);\(&quot;$&quot;#,##0.00\)"/>
    <numFmt numFmtId="8" formatCode="&quot;$&quot;#,##0.00_);[Red]\(&quot;$&quot;#,##0.00\)"/>
    <numFmt numFmtId="164" formatCode="&quot;$&quot;#,##0.00"/>
    <numFmt numFmtId="165" formatCode="#,##0.0000_);[Red]\(#,##0.0000\)"/>
  </numFmts>
  <fonts count="13" x14ac:knownFonts="1">
    <font>
      <sz val="10"/>
      <name val="Arial"/>
    </font>
    <font>
      <sz val="8"/>
      <name val="Arial"/>
      <family val="2"/>
    </font>
    <font>
      <sz val="10"/>
      <color theme="1"/>
      <name val="Tahoma"/>
      <family val="2"/>
      <scheme val="minor"/>
    </font>
    <font>
      <sz val="10"/>
      <name val="Arial"/>
      <family val="2"/>
    </font>
    <font>
      <b/>
      <sz val="22"/>
      <color theme="4"/>
      <name val="Candara"/>
      <family val="2"/>
      <scheme val="major"/>
    </font>
    <font>
      <sz val="10"/>
      <color theme="0"/>
      <name val="Tahoma"/>
      <family val="2"/>
      <scheme val="minor"/>
    </font>
    <font>
      <sz val="10"/>
      <color theme="1" tint="0.14999847407452621"/>
      <name val="Tahoma"/>
      <family val="2"/>
      <scheme val="minor"/>
    </font>
    <font>
      <b/>
      <sz val="10"/>
      <color theme="1" tint="0.14999847407452621"/>
      <name val="Tahoma"/>
      <family val="2"/>
      <scheme val="minor"/>
    </font>
    <font>
      <sz val="12"/>
      <color theme="0"/>
      <name val="Candara"/>
      <family val="2"/>
      <scheme val="major"/>
    </font>
    <font>
      <sz val="20"/>
      <color theme="0"/>
      <name val="Candara"/>
      <family val="2"/>
      <scheme val="major"/>
    </font>
    <font>
      <sz val="24"/>
      <color theme="0"/>
      <name val="Candara"/>
      <family val="2"/>
      <scheme val="major"/>
    </font>
    <font>
      <sz val="22"/>
      <color theme="1" tint="0.14999847407452621"/>
      <name val="Candara"/>
      <family val="2"/>
      <scheme val="major"/>
    </font>
    <font>
      <sz val="22"/>
      <color theme="0"/>
      <name val="Candara"/>
      <family val="2"/>
      <scheme val="major"/>
    </font>
  </fonts>
  <fills count="5">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0070C0"/>
        <bgColor indexed="64"/>
      </patternFill>
    </fill>
  </fills>
  <borders count="6">
    <border>
      <left/>
      <right/>
      <top/>
      <bottom/>
      <diagonal/>
    </border>
    <border>
      <left/>
      <right/>
      <top/>
      <bottom style="thin">
        <color theme="0" tint="-0.14996795556505021"/>
      </bottom>
      <diagonal/>
    </border>
    <border>
      <left/>
      <right style="thin">
        <color theme="4" tint="0.39994506668294322"/>
      </right>
      <top/>
      <bottom/>
      <diagonal/>
    </border>
    <border>
      <left/>
      <right style="thin">
        <color theme="4" tint="-0.499984740745262"/>
      </right>
      <top/>
      <bottom/>
      <diagonal/>
    </border>
    <border>
      <left/>
      <right/>
      <top/>
      <bottom style="thin">
        <color theme="4" tint="0.59996337778862885"/>
      </bottom>
      <diagonal/>
    </border>
    <border>
      <left/>
      <right style="thin">
        <color theme="4" tint="-0.499984740745262"/>
      </right>
      <top/>
      <bottom style="thin">
        <color theme="4" tint="-0.499984740745262"/>
      </bottom>
      <diagonal/>
    </border>
  </borders>
  <cellStyleXfs count="3">
    <xf numFmtId="0" fontId="0" fillId="0" borderId="0"/>
    <xf numFmtId="0" fontId="4" fillId="2" borderId="0" applyNumberFormat="0" applyBorder="0" applyAlignment="0" applyProtection="0"/>
    <xf numFmtId="0" fontId="3" fillId="0" borderId="0"/>
  </cellStyleXfs>
  <cellXfs count="48">
    <xf numFmtId="0" fontId="0" fillId="0" borderId="0" xfId="0"/>
    <xf numFmtId="0" fontId="6" fillId="0" borderId="0" xfId="0" applyFont="1" applyAlignment="1">
      <alignment horizontal="center" vertical="center"/>
    </xf>
    <xf numFmtId="0" fontId="7" fillId="3" borderId="0" xfId="0" applyFont="1" applyFill="1" applyAlignment="1">
      <alignment horizontal="center" vertical="center"/>
    </xf>
    <xf numFmtId="0" fontId="6" fillId="3" borderId="0" xfId="0" applyFont="1" applyFill="1" applyAlignment="1">
      <alignment horizontal="center" vertical="center"/>
    </xf>
    <xf numFmtId="8" fontId="6" fillId="0" borderId="0" xfId="0" applyNumberFormat="1" applyFont="1" applyAlignment="1">
      <alignment horizontal="center" vertical="center"/>
    </xf>
    <xf numFmtId="164" fontId="6" fillId="0" borderId="0" xfId="0" applyNumberFormat="1" applyFont="1" applyAlignment="1">
      <alignment horizontal="center" vertical="center"/>
    </xf>
    <xf numFmtId="7" fontId="6" fillId="0" borderId="0" xfId="0" applyNumberFormat="1" applyFont="1" applyAlignment="1">
      <alignment horizontal="center" vertical="center"/>
    </xf>
    <xf numFmtId="0" fontId="7" fillId="0" borderId="0" xfId="0" applyFont="1" applyAlignment="1">
      <alignment horizontal="center" vertical="center"/>
    </xf>
    <xf numFmtId="0" fontId="6" fillId="0" borderId="0" xfId="0" applyFont="1" applyAlignment="1">
      <alignment horizontal="left" vertical="center" indent="1"/>
    </xf>
    <xf numFmtId="0" fontId="7" fillId="3" borderId="0" xfId="0" applyFont="1" applyFill="1" applyAlignment="1">
      <alignment horizontal="left" vertical="center" indent="1"/>
    </xf>
    <xf numFmtId="0" fontId="5" fillId="0" borderId="0" xfId="0" applyFont="1" applyAlignment="1">
      <alignment horizontal="center" vertical="center"/>
    </xf>
    <xf numFmtId="0" fontId="5" fillId="0" borderId="0" xfId="0" applyFont="1" applyAlignment="1">
      <alignment vertical="center"/>
    </xf>
    <xf numFmtId="6" fontId="5" fillId="0" borderId="0" xfId="0" applyNumberFormat="1" applyFont="1" applyAlignment="1">
      <alignment horizontal="center" vertical="center"/>
    </xf>
    <xf numFmtId="165" fontId="5" fillId="0" borderId="0" xfId="0" applyNumberFormat="1" applyFont="1" applyAlignment="1">
      <alignment horizontal="center" vertical="center"/>
    </xf>
    <xf numFmtId="0" fontId="5" fillId="0" borderId="0" xfId="0" applyFont="1" applyAlignment="1">
      <alignment horizontal="left" vertical="center" indent="1"/>
    </xf>
    <xf numFmtId="0" fontId="6" fillId="0" borderId="0" xfId="0" applyFont="1" applyAlignment="1">
      <alignment vertical="center"/>
    </xf>
    <xf numFmtId="0" fontId="6" fillId="0" borderId="0" xfId="0" applyFont="1" applyAlignment="1">
      <alignment horizontal="left" vertical="center"/>
    </xf>
    <xf numFmtId="0" fontId="9" fillId="0" borderId="0" xfId="0" applyFont="1" applyAlignment="1">
      <alignment horizontal="left" indent="7"/>
    </xf>
    <xf numFmtId="0" fontId="9" fillId="0" borderId="0" xfId="0" applyFont="1" applyAlignment="1">
      <alignment horizontal="left" vertical="top" indent="7"/>
    </xf>
    <xf numFmtId="0" fontId="11" fillId="0" borderId="0" xfId="0" applyFont="1" applyAlignment="1">
      <alignment horizontal="left" indent="7"/>
    </xf>
    <xf numFmtId="0" fontId="11" fillId="0" borderId="0" xfId="0" applyFont="1" applyAlignment="1">
      <alignment horizontal="left" vertical="top" indent="7"/>
    </xf>
    <xf numFmtId="0" fontId="10" fillId="0" borderId="0" xfId="0" applyFont="1" applyAlignment="1">
      <alignment horizontal="left" indent="1"/>
    </xf>
    <xf numFmtId="0" fontId="10" fillId="0" borderId="0" xfId="0" applyFont="1" applyAlignment="1">
      <alignment horizontal="left" vertical="top" indent="1"/>
    </xf>
    <xf numFmtId="0" fontId="6" fillId="0" borderId="0" xfId="0" applyFont="1" applyAlignment="1">
      <alignment horizontal="center" vertical="center"/>
    </xf>
    <xf numFmtId="0" fontId="10" fillId="4" borderId="0" xfId="0" applyFont="1" applyFill="1" applyAlignment="1">
      <alignment horizontal="left" indent="1"/>
    </xf>
    <xf numFmtId="0" fontId="10" fillId="4" borderId="0" xfId="0" applyFont="1" applyFill="1"/>
    <xf numFmtId="0" fontId="12" fillId="4" borderId="0" xfId="0" applyFont="1" applyFill="1" applyAlignment="1">
      <alignment horizontal="left" indent="7"/>
    </xf>
    <xf numFmtId="0" fontId="10" fillId="4" borderId="1" xfId="0" applyFont="1" applyFill="1" applyBorder="1" applyAlignment="1">
      <alignment horizontal="left" vertical="top" indent="1"/>
    </xf>
    <xf numFmtId="0" fontId="10" fillId="4" borderId="1" xfId="0" applyFont="1" applyFill="1" applyBorder="1" applyAlignment="1">
      <alignment vertical="top"/>
    </xf>
    <xf numFmtId="0" fontId="12" fillId="4" borderId="1" xfId="0" applyFont="1" applyFill="1" applyBorder="1" applyAlignment="1">
      <alignment horizontal="left" vertical="top" indent="7"/>
    </xf>
    <xf numFmtId="0" fontId="5" fillId="4" borderId="5" xfId="0" applyFont="1" applyFill="1" applyBorder="1" applyAlignment="1">
      <alignment horizontal="left" vertical="center" indent="1"/>
    </xf>
    <xf numFmtId="0" fontId="6" fillId="2" borderId="4" xfId="0" applyFont="1" applyFill="1" applyBorder="1" applyAlignment="1">
      <alignment horizontal="center" vertical="center"/>
    </xf>
    <xf numFmtId="0" fontId="6" fillId="2" borderId="4" xfId="0" applyFont="1" applyFill="1" applyBorder="1" applyAlignment="1">
      <alignment vertical="center"/>
    </xf>
    <xf numFmtId="0" fontId="6" fillId="2" borderId="0" xfId="0" applyFont="1" applyFill="1" applyAlignment="1">
      <alignment horizontal="left" vertical="center" indent="1"/>
    </xf>
    <xf numFmtId="8" fontId="6" fillId="2" borderId="0" xfId="0" applyNumberFormat="1" applyFont="1" applyFill="1" applyAlignment="1">
      <alignment horizontal="center" vertical="center"/>
    </xf>
    <xf numFmtId="0" fontId="9" fillId="4" borderId="0" xfId="0" applyFont="1" applyFill="1" applyAlignment="1">
      <alignment horizontal="left" indent="7"/>
    </xf>
    <xf numFmtId="0" fontId="10" fillId="4" borderId="0" xfId="0" applyFont="1" applyFill="1" applyAlignment="1">
      <alignment horizontal="left" vertical="top" indent="1"/>
    </xf>
    <xf numFmtId="0" fontId="10" fillId="4" borderId="0" xfId="0" applyFont="1" applyFill="1" applyAlignment="1">
      <alignment vertical="top"/>
    </xf>
    <xf numFmtId="0" fontId="9" fillId="4" borderId="0" xfId="0" applyFont="1" applyFill="1" applyAlignment="1">
      <alignment horizontal="left" vertical="top" indent="7"/>
    </xf>
    <xf numFmtId="0" fontId="8" fillId="4" borderId="2" xfId="0" applyFont="1" applyFill="1" applyBorder="1" applyAlignment="1">
      <alignment horizontal="center" vertical="center"/>
    </xf>
    <xf numFmtId="0" fontId="5" fillId="4" borderId="0" xfId="0" applyFont="1" applyFill="1" applyAlignment="1">
      <alignment horizontal="left" vertical="center" indent="1"/>
    </xf>
    <xf numFmtId="0" fontId="5" fillId="4" borderId="0" xfId="0" applyFont="1" applyFill="1" applyAlignment="1">
      <alignment horizontal="center" vertical="center"/>
    </xf>
    <xf numFmtId="0" fontId="2" fillId="2" borderId="0" xfId="0" applyFont="1" applyFill="1" applyAlignment="1">
      <alignment horizontal="left" vertical="center" indent="1"/>
    </xf>
    <xf numFmtId="0" fontId="2" fillId="2" borderId="0" xfId="0" applyFont="1" applyFill="1" applyAlignment="1">
      <alignment horizontal="center" vertical="center"/>
    </xf>
    <xf numFmtId="0" fontId="6" fillId="2" borderId="0" xfId="0" applyFont="1" applyFill="1" applyAlignment="1">
      <alignment horizontal="center" vertical="center"/>
    </xf>
    <xf numFmtId="0" fontId="8" fillId="4" borderId="3" xfId="0" applyFont="1" applyFill="1" applyBorder="1" applyAlignment="1">
      <alignment horizontal="center" vertical="center"/>
    </xf>
    <xf numFmtId="164" fontId="6" fillId="2" borderId="0" xfId="0" applyNumberFormat="1" applyFont="1" applyFill="1" applyAlignment="1">
      <alignment horizontal="center" vertical="center"/>
    </xf>
    <xf numFmtId="7" fontId="6" fillId="2" borderId="0" xfId="0" applyNumberFormat="1" applyFont="1" applyFill="1" applyAlignment="1">
      <alignment horizontal="center" vertical="center"/>
    </xf>
  </cellXfs>
  <cellStyles count="3">
    <cellStyle name="Normal" xfId="0" builtinId="0" customBuiltin="1"/>
    <cellStyle name="Normal 2" xfId="2" xr:uid="{00000000-0005-0000-0000-000001000000}"/>
    <cellStyle name="Title" xfId="1" builtinId="15" customBuiltin="1"/>
  </cellStyles>
  <dxfs count="149">
    <dxf>
      <font>
        <b val="0"/>
        <strike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dxf>
    <dxf>
      <font>
        <strike val="0"/>
        <outline val="0"/>
        <shadow val="0"/>
        <u val="none"/>
        <vertAlign val="baseline"/>
        <sz val="10"/>
        <color theme="1" tint="0.14999847407452621"/>
        <name val="Tahoma"/>
        <scheme val="minor"/>
      </font>
      <fill>
        <patternFill patternType="solid">
          <fgColor indexed="64"/>
          <bgColor theme="0" tint="-4.9989318521683403E-2"/>
        </patternFill>
      </fill>
    </dxf>
    <dxf>
      <font>
        <strike val="0"/>
        <outline val="0"/>
        <shadow val="0"/>
        <u val="none"/>
        <vertAlign val="baseline"/>
        <sz val="10"/>
        <color theme="1" tint="0.14999847407452621"/>
        <name val="Tahoma"/>
        <scheme val="minor"/>
      </font>
      <fill>
        <patternFill patternType="solid">
          <fgColor indexed="64"/>
          <bgColor theme="0" tint="-4.9989318521683403E-2"/>
        </patternFill>
      </fill>
    </dxf>
    <dxf>
      <font>
        <strike val="0"/>
        <outline val="0"/>
        <shadow val="0"/>
        <u val="none"/>
        <vertAlign val="baseline"/>
        <sz val="10"/>
        <color theme="1" tint="0.14999847407452621"/>
        <name val="Tahoma"/>
        <scheme val="minor"/>
      </font>
      <fill>
        <patternFill patternType="solid">
          <fgColor indexed="64"/>
          <bgColor theme="0" tint="-4.9989318521683403E-2"/>
        </patternFill>
      </fill>
    </dxf>
    <dxf>
      <font>
        <b val="0"/>
        <strike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ill>
        <patternFill patternType="solid">
          <fgColor indexed="64"/>
          <bgColor theme="0" tint="-4.9989318521683403E-2"/>
        </patternFill>
      </fill>
    </dxf>
    <dxf>
      <font>
        <b val="0"/>
        <strike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10"/>
        <color theme="1"/>
        <name val="Tahoma"/>
        <scheme val="minor"/>
      </font>
      <numFmt numFmtId="0" formatCode="General"/>
      <fill>
        <patternFill patternType="solid">
          <fgColor indexed="64"/>
          <bgColor theme="0" tint="-4.9989318521683403E-2"/>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10"/>
        <color theme="1"/>
        <name val="Tahoma"/>
        <scheme val="minor"/>
      </font>
      <numFmt numFmtId="0" formatCode="General"/>
      <fill>
        <patternFill patternType="solid">
          <fgColor indexed="64"/>
          <bgColor theme="0" tint="-4.9989318521683403E-2"/>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solid">
          <fgColor indexed="64"/>
          <bgColor theme="0" tint="-4.9989318521683403E-2"/>
        </patternFill>
      </fill>
      <alignment horizontal="center" vertical="center" textRotation="0" wrapText="0" indent="0" justifyLastLine="0" shrinkToFit="0" readingOrder="0"/>
    </dxf>
    <dxf>
      <font>
        <strike val="0"/>
        <outline val="0"/>
        <shadow val="0"/>
        <u val="none"/>
        <vertAlign val="baseline"/>
        <sz val="10"/>
        <name val="Tahoma"/>
        <scheme val="minor"/>
      </font>
      <fill>
        <patternFill patternType="solid">
          <fgColor indexed="64"/>
          <bgColor theme="0" tint="-4.9989318521683403E-2"/>
        </patternFill>
      </fill>
    </dxf>
    <dxf>
      <font>
        <strike val="0"/>
        <outline val="0"/>
        <shadow val="0"/>
        <u val="none"/>
        <vertAlign val="baseline"/>
        <sz val="10"/>
        <name val="Tahoma"/>
        <scheme val="minor"/>
      </font>
      <fill>
        <patternFill patternType="solid">
          <fgColor indexed="64"/>
          <bgColor theme="0" tint="-4.9989318521683403E-2"/>
        </patternFill>
      </fill>
    </dxf>
    <dxf>
      <font>
        <strike val="0"/>
        <outline val="0"/>
        <shadow val="0"/>
        <u val="none"/>
        <vertAlign val="baseline"/>
        <sz val="10"/>
        <name val="Tahoma"/>
        <scheme val="minor"/>
      </font>
      <fill>
        <patternFill patternType="solid">
          <fgColor indexed="64"/>
          <bgColor theme="0" tint="-4.9989318521683403E-2"/>
        </patternFill>
      </fill>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left" vertical="center" textRotation="0" wrapText="0" indent="1" justifyLastLine="0" shrinkToFit="0" readingOrder="0"/>
      <protection locked="1" hidden="0"/>
    </dxf>
    <dxf>
      <font>
        <b val="0"/>
        <i val="0"/>
        <strike val="0"/>
        <condense val="0"/>
        <extend val="0"/>
        <outline val="0"/>
        <shadow val="0"/>
        <u val="none"/>
        <vertAlign val="baseline"/>
        <sz val="10"/>
        <color theme="1"/>
        <name val="Tahoma"/>
        <scheme val="minor"/>
      </font>
      <numFmt numFmtId="0" formatCode="General"/>
      <fill>
        <patternFill patternType="solid">
          <fgColor indexed="64"/>
          <bgColor theme="0" tint="-4.9989318521683403E-2"/>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name val="Tahoma"/>
        <scheme val="minor"/>
      </font>
      <numFmt numFmtId="0" formatCode="General"/>
      <fill>
        <patternFill patternType="solid">
          <fgColor indexed="64"/>
          <bgColor theme="0" tint="-4.9989318521683403E-2"/>
        </patternFill>
      </fill>
      <alignment horizontal="center" vertical="center" textRotation="0" wrapText="0" indent="0" justifyLastLine="0" shrinkToFit="0" readingOrder="0"/>
      <protection locked="1" hidden="0"/>
    </dxf>
    <dxf>
      <fill>
        <patternFill patternType="solid">
          <fgColor indexed="64"/>
          <bgColor theme="0" tint="-4.9989318521683403E-2"/>
        </patternFill>
      </fill>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left" vertical="center" textRotation="0" wrapText="0" indent="1" justifyLastLine="0" shrinkToFit="0" readingOrder="0"/>
    </dxf>
    <dxf>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fill>
        <patternFill patternType="solid">
          <fgColor indexed="64"/>
          <bgColor theme="0" tint="-4.9989318521683403E-2"/>
        </patternFill>
      </fill>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solid">
          <fgColor indexed="64"/>
          <bgColor theme="0" tint="-4.9989318521683403E-2"/>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fill>
        <patternFill patternType="solid">
          <fgColor indexed="64"/>
          <bgColor theme="0" tint="-4.9989318521683403E-2"/>
        </patternFill>
      </fill>
      <alignment horizontal="left" vertical="center" textRotation="0" wrapText="0" indent="1"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alignment horizontal="left" vertical="center" textRotation="0" wrapText="0" indent="1" justifyLastLine="0" shrinkToFit="0" readingOrder="0"/>
    </dxf>
    <dxf>
      <border outline="0">
        <bottom style="thin">
          <color theme="1" tint="0.34998626667073579"/>
        </bottom>
      </border>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fill>
        <patternFill patternType="none">
          <fgColor indexed="64"/>
          <bgColor auto="1"/>
        </patternFill>
      </fill>
      <alignment horizontal="left" vertical="center" textRotation="0" wrapText="0" indent="1" justifyLastLine="0" shrinkToFit="0" readingOrder="0"/>
    </dxf>
    <dxf>
      <fill>
        <patternFill patternType="none">
          <fgColor indexed="64"/>
          <bgColor auto="1"/>
        </patternFill>
      </fill>
    </dxf>
    <dxf>
      <border>
        <bottom style="thin">
          <color theme="1" tint="0.34998626667073579"/>
        </bottom>
      </border>
    </dxf>
    <dxf>
      <font>
        <b val="0"/>
        <i val="0"/>
        <strike val="0"/>
        <condense val="0"/>
        <extend val="0"/>
        <outline val="0"/>
        <shadow val="0"/>
        <u val="none"/>
        <vertAlign val="baseline"/>
        <sz val="10"/>
        <color theme="1" tint="0.14999847407452621"/>
        <name val="Tahoma"/>
        <scheme val="minor"/>
      </font>
      <numFmt numFmtId="12" formatCode="&quot;$&quot;#,##0.00_);[Red]\(&quot;$&quot;#,##0.00\)"/>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2" formatCode="&quot;$&quot;#,##0.00_);[Red]\(&quot;$&quot;#,##0.00\)"/>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alignment horizontal="left" vertical="center" textRotation="0" wrapText="0" indent="1" justifyLastLine="0" shrinkToFit="0" readingOrder="0"/>
    </dxf>
    <dxf>
      <border>
        <bottom style="thin">
          <color theme="1" tint="0.34998626667073579"/>
        </bottom>
      </border>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alignment horizontal="center" vertical="center" textRotation="0" wrapText="0" indent="0" justifyLastLine="0" shrinkToFit="0" readingOrder="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alignment horizontal="center" vertical="center" textRotation="0" wrapText="0" indent="0" justifyLastLine="0" shrinkToFit="0" readingOrder="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alignment horizontal="center" vertical="center" textRotation="0" wrapText="0" indent="0" justifyLastLine="0" shrinkToFit="0" readingOrder="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12" formatCode="&quot;$&quot;#,##0.00_);[Red]\(&quot;$&quot;#,##0.00\)"/>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center" vertical="center" textRotation="0" wrapText="0" indent="0" justifyLastLine="0" shrinkToFit="0" readingOrder="0"/>
      <protection locked="1" hidden="0"/>
    </dxf>
    <dxf>
      <font>
        <strike val="0"/>
        <outline val="0"/>
        <shadow val="0"/>
        <u val="none"/>
        <vertAlign val="baseline"/>
        <sz val="10"/>
        <color theme="1" tint="0.14999847407452621"/>
        <name val="Tahoma"/>
        <scheme val="minor"/>
      </font>
      <numFmt numFmtId="0" formatCode="General"/>
      <fill>
        <patternFill patternType="none">
          <fgColor indexed="64"/>
          <bgColor indexed="65"/>
        </patternFill>
      </fill>
      <alignment horizontal="left" vertical="center" textRotation="0" wrapText="0" indent="1" justifyLastLine="0" shrinkToFit="0" readingOrder="0"/>
      <protection locked="1" hidden="0"/>
    </dxf>
    <dxf>
      <font>
        <strike val="0"/>
        <outline val="0"/>
        <shadow val="0"/>
        <u val="none"/>
        <vertAlign val="baseline"/>
        <sz val="10"/>
        <color theme="1" tint="0.14999847407452621"/>
        <name val="Tahoma"/>
        <scheme val="minor"/>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none">
          <fgColor indexed="64"/>
          <bgColor auto="1"/>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none">
          <fgColor indexed="64"/>
          <bgColor auto="1"/>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0" formatCode="General"/>
      <fill>
        <patternFill patternType="none">
          <fgColor indexed="64"/>
          <bgColor auto="1"/>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b val="0"/>
        <strike val="0"/>
        <outline val="0"/>
        <shadow val="0"/>
        <u val="none"/>
        <vertAlign val="baseline"/>
        <sz val="10"/>
        <color theme="1" tint="0.14999847407452621"/>
        <name val="Tahoma"/>
        <scheme val="minor"/>
      </font>
      <numFmt numFmtId="164" formatCode="&quot;$&quot;#,##0.00"/>
      <fill>
        <patternFill patternType="none">
          <fgColor indexed="64"/>
          <bgColor auto="1"/>
        </patternFill>
      </fill>
      <alignment horizontal="center" vertical="center" textRotation="0" wrapText="0" indent="0" justifyLastLine="0" shrinkToFit="0" readingOrder="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0" formatCode="General"/>
      <fill>
        <patternFill patternType="none">
          <fgColor indexed="64"/>
          <bgColor auto="1"/>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b val="0"/>
        <i val="0"/>
        <strike val="0"/>
        <condense val="0"/>
        <extend val="0"/>
        <outline val="0"/>
        <shadow val="0"/>
        <u val="none"/>
        <vertAlign val="baseline"/>
        <sz val="10"/>
        <color theme="1" tint="0.14999847407452621"/>
        <name val="Tahoma"/>
        <scheme val="minor"/>
      </font>
      <numFmt numFmtId="164" formatCode="&quot;$&quot;#,##0.00"/>
      <fill>
        <patternFill patternType="none">
          <fgColor indexed="64"/>
          <bgColor auto="1"/>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12" formatCode="&quot;$&quot;#,##0.00_);[Red]\(&quot;$&quot;#,##0.00\)"/>
      <fill>
        <patternFill patternType="none">
          <fgColor indexed="64"/>
          <bgColor auto="1"/>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0"/>
        <color theme="1" tint="0.14999847407452621"/>
        <name val="Tahoma"/>
        <scheme val="minor"/>
      </font>
      <numFmt numFmtId="0" formatCode="General"/>
      <fill>
        <patternFill patternType="none">
          <fgColor indexed="64"/>
          <bgColor auto="1"/>
        </patternFill>
      </fill>
      <alignment horizontal="left" vertical="center" textRotation="0" wrapText="0" indent="1" justifyLastLine="0" shrinkToFit="0" readingOrder="0"/>
      <protection locked="1" hidden="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sz val="10"/>
        <color theme="1" tint="0.14999847407452621"/>
        <name val="Tahoma"/>
        <scheme val="minor"/>
      </font>
      <fill>
        <patternFill patternType="none">
          <fgColor indexed="64"/>
          <bgColor auto="1"/>
        </patternFill>
      </fill>
    </dxf>
    <dxf>
      <font>
        <strike val="0"/>
        <outline val="0"/>
        <shadow val="0"/>
        <u val="none"/>
        <vertAlign val="baseline"/>
        <sz val="10"/>
        <color theme="1" tint="0.14999847407452621"/>
        <name val="Tahoma"/>
        <scheme val="minor"/>
      </font>
      <fill>
        <patternFill patternType="none">
          <fgColor indexed="64"/>
          <bgColor auto="1"/>
        </patternFill>
      </fill>
    </dxf>
    <dxf>
      <font>
        <strike val="0"/>
        <outline val="0"/>
        <shadow val="0"/>
        <u val="none"/>
        <vertAlign val="baseline"/>
        <sz val="10"/>
        <color theme="1" tint="0.14999847407452621"/>
        <name val="Tahoma"/>
        <scheme val="minor"/>
      </font>
      <fill>
        <patternFill patternType="none">
          <fgColor indexed="64"/>
          <bgColor auto="1"/>
        </patternFill>
      </fill>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theme="1" tint="0.14999847407452621"/>
      </font>
      <fill>
        <patternFill patternType="none">
          <fgColor indexed="64"/>
          <bgColor auto="1"/>
        </patternFill>
      </fill>
    </dxf>
    <dxf>
      <font>
        <strike val="0"/>
        <outline val="0"/>
        <shadow val="0"/>
        <u val="none"/>
        <vertAlign val="baseline"/>
        <color theme="1" tint="0.14999847407452621"/>
      </font>
      <fill>
        <patternFill patternType="none">
          <fgColor indexed="64"/>
          <bgColor auto="1"/>
        </patternFill>
      </fill>
    </dxf>
    <dxf>
      <font>
        <strike val="0"/>
        <outline val="0"/>
        <shadow val="0"/>
        <u val="none"/>
        <vertAlign val="baseline"/>
        <color theme="1" tint="0.14999847407452621"/>
      </font>
      <fill>
        <patternFill patternType="none">
          <fgColor indexed="64"/>
          <bgColor auto="1"/>
        </patternFill>
      </fill>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b val="0"/>
        <strike val="0"/>
        <outline val="0"/>
        <shadow val="0"/>
        <u val="none"/>
        <vertAlign val="baseline"/>
        <sz val="10"/>
        <color theme="1" tint="0.14999847407452621"/>
        <name val="Tahoma"/>
        <scheme val="minor"/>
      </font>
      <fill>
        <patternFill patternType="none">
          <fgColor indexed="64"/>
          <bgColor auto="1"/>
        </patternFill>
      </fill>
      <alignment horizontal="left" vertical="center" textRotation="0" wrapText="0" indent="1" justifyLastLine="0" shrinkToFit="0" readingOrder="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strike val="0"/>
        <outline val="0"/>
        <shadow val="0"/>
        <u val="none"/>
        <vertAlign val="baseline"/>
        <color theme="1" tint="0.14999847407452621"/>
      </font>
      <fill>
        <patternFill patternType="none">
          <fgColor indexed="64"/>
          <bgColor auto="1"/>
        </patternFill>
      </fill>
    </dxf>
    <dxf>
      <font>
        <strike val="0"/>
        <outline val="0"/>
        <shadow val="0"/>
        <u val="none"/>
        <vertAlign val="baseline"/>
        <color theme="1" tint="0.14999847407452621"/>
      </font>
      <fill>
        <patternFill patternType="none">
          <fgColor indexed="64"/>
          <bgColor auto="1"/>
        </patternFill>
      </fill>
    </dxf>
    <dxf>
      <font>
        <strike val="0"/>
        <outline val="0"/>
        <shadow val="0"/>
        <u val="none"/>
        <vertAlign val="baseline"/>
        <color theme="1" tint="0.14999847407452621"/>
      </font>
      <fill>
        <patternFill patternType="none">
          <fgColor indexed="64"/>
          <bgColor auto="1"/>
        </patternFill>
      </fill>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ont>
        <b val="0"/>
        <strike val="0"/>
        <outline val="0"/>
        <shadow val="0"/>
        <u val="none"/>
        <vertAlign val="baseline"/>
        <sz val="10"/>
        <color theme="1" tint="0.14999847407452621"/>
        <name val="Tahoma"/>
        <scheme val="minor"/>
      </font>
      <fill>
        <patternFill patternType="none">
          <fgColor indexed="64"/>
          <bgColor auto="1"/>
        </patternFill>
      </fill>
      <alignment horizontal="center" vertical="center" textRotation="0" wrapText="0" indent="0" justifyLastLine="0" shrinkToFit="0" readingOrder="0"/>
    </dxf>
    <dxf>
      <fill>
        <patternFill patternType="solid">
          <fgColor theme="0" tint="-0.14999847407452621"/>
          <bgColor theme="0" tint="-0.14999847407452621"/>
        </patternFill>
      </fill>
    </dxf>
    <dxf>
      <fill>
        <patternFill patternType="solid">
          <fgColor theme="0" tint="-0.14996795556505021"/>
          <bgColor theme="0"/>
        </patternFill>
      </fill>
      <border>
        <horizontal style="medium">
          <color theme="0"/>
        </horizontal>
      </border>
    </dxf>
    <dxf>
      <font>
        <b/>
        <color theme="1"/>
      </font>
    </dxf>
    <dxf>
      <font>
        <b/>
        <color theme="1"/>
      </font>
    </dxf>
    <dxf>
      <font>
        <b val="0"/>
        <i val="0"/>
        <color theme="1"/>
      </font>
      <fill>
        <patternFill>
          <bgColor theme="4" tint="0.79998168889431442"/>
        </patternFill>
      </fill>
      <border>
        <top style="medium">
          <color theme="0"/>
        </top>
      </border>
    </dxf>
    <dxf>
      <font>
        <b val="0"/>
        <i val="0"/>
        <color theme="0"/>
      </font>
      <fill>
        <patternFill>
          <bgColor theme="4" tint="0.59996337778862885"/>
        </patternFill>
      </fill>
      <border>
        <bottom/>
      </border>
    </dxf>
    <dxf>
      <font>
        <color theme="1"/>
      </font>
      <fill>
        <patternFill patternType="none">
          <bgColor auto="1"/>
        </patternFill>
      </fill>
      <border diagonalUp="0" diagonalDown="0">
        <left/>
        <right/>
        <top/>
        <bottom/>
        <vertical/>
        <horizontal/>
      </border>
    </dxf>
  </dxfs>
  <tableStyles count="1" defaultTableStyle="TableStyleMedium2" defaultPivotStyle="PivotStyleLight16">
    <tableStyle name="TableStyleLight1 2" pivot="0" count="7" xr9:uid="{00000000-0011-0000-FFFF-FFFF00000000}">
      <tableStyleElement type="wholeTable" dxfId="148"/>
      <tableStyleElement type="headerRow" dxfId="147"/>
      <tableStyleElement type="totalRow" dxfId="146"/>
      <tableStyleElement type="firstColumn" dxfId="145"/>
      <tableStyleElement type="lastColumn" dxfId="144"/>
      <tableStyleElement type="firstRowStripe" size="7" dxfId="143"/>
      <tableStyleElement type="firstColumnStripe" dxfId="142"/>
    </tableStyle>
  </table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EAEAEA"/>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7795CB"/>
      <rgbColor rgb="00333333"/>
    </indexedColors>
    <mruColors>
      <color rgb="FF62BECA"/>
      <color rgb="FFB50B4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11843548374897"/>
          <c:y val="2.7777777777777776E-2"/>
          <c:w val="0.73537921592653943"/>
          <c:h val="0.94444444444444442"/>
        </c:manualLayout>
      </c:layout>
      <c:barChart>
        <c:barDir val="bar"/>
        <c:grouping val="clustered"/>
        <c:varyColors val="0"/>
        <c:ser>
          <c:idx val="0"/>
          <c:order val="0"/>
          <c:tx>
            <c:strRef>
              <c:f>'Profit &amp; Loss Summary'!$D$5</c:f>
              <c:strCache>
                <c:ptCount val="1"/>
                <c:pt idx="0">
                  <c:v>Actual</c:v>
                </c:pt>
              </c:strCache>
            </c:strRef>
          </c:tx>
          <c:spPr>
            <a:solidFill>
              <a:schemeClr val="accent4">
                <a:lumMod val="60000"/>
                <a:lumOff val="40000"/>
              </a:schemeClr>
            </a:solidFill>
            <a:ln>
              <a:noFill/>
            </a:ln>
            <a:effectLst/>
          </c:spPr>
          <c:invertIfNegative val="0"/>
          <c:cat>
            <c:strRef>
              <c:f>'Profit &amp; Loss Summary'!$B$6:$B$12</c:f>
              <c:strCache>
                <c:ptCount val="7"/>
                <c:pt idx="0">
                  <c:v>Program</c:v>
                </c:pt>
                <c:pt idx="1">
                  <c:v>Site</c:v>
                </c:pt>
                <c:pt idx="2">
                  <c:v>Refreshments</c:v>
                </c:pt>
                <c:pt idx="3">
                  <c:v>Prizes</c:v>
                </c:pt>
                <c:pt idx="4">
                  <c:v>Decorations</c:v>
                </c:pt>
                <c:pt idx="5">
                  <c:v>Miscellaneous</c:v>
                </c:pt>
                <c:pt idx="6">
                  <c:v>Publicity</c:v>
                </c:pt>
              </c:strCache>
            </c:strRef>
          </c:cat>
          <c:val>
            <c:numRef>
              <c:f>'Profit &amp; Loss Summary'!$D$6:$D$12</c:f>
              <c:numCache>
                <c:formatCode>"$"#,##0.00_);[Red]\("$"#,##0.00\)</c:formatCode>
                <c:ptCount val="7"/>
                <c:pt idx="0">
                  <c:v>700</c:v>
                </c:pt>
                <c:pt idx="1">
                  <c:v>450</c:v>
                </c:pt>
                <c:pt idx="2">
                  <c:v>200</c:v>
                </c:pt>
                <c:pt idx="3">
                  <c:v>100</c:v>
                </c:pt>
                <c:pt idx="4">
                  <c:v>100</c:v>
                </c:pt>
                <c:pt idx="5">
                  <c:v>70</c:v>
                </c:pt>
                <c:pt idx="6">
                  <c:v>20</c:v>
                </c:pt>
              </c:numCache>
            </c:numRef>
          </c:val>
          <c:extLst>
            <c:ext xmlns:c16="http://schemas.microsoft.com/office/drawing/2014/chart" uri="{C3380CC4-5D6E-409C-BE32-E72D297353CC}">
              <c16:uniqueId val="{00000000-D5C9-4845-B8AA-AE76CE63CD57}"/>
            </c:ext>
          </c:extLst>
        </c:ser>
        <c:dLbls>
          <c:showLegendKey val="0"/>
          <c:showVal val="0"/>
          <c:showCatName val="0"/>
          <c:showSerName val="0"/>
          <c:showPercent val="0"/>
          <c:showBubbleSize val="0"/>
        </c:dLbls>
        <c:gapWidth val="100"/>
        <c:axId val="432234600"/>
        <c:axId val="432235584"/>
      </c:barChart>
      <c:catAx>
        <c:axId val="432234600"/>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800" b="0" i="0" u="none" strike="noStrike" kern="1200" baseline="0">
                <a:solidFill>
                  <a:schemeClr val="tx1">
                    <a:lumMod val="75000"/>
                    <a:lumOff val="25000"/>
                  </a:schemeClr>
                </a:solidFill>
                <a:latin typeface="+mn-lt"/>
                <a:ea typeface="+mn-ea"/>
                <a:cs typeface="+mn-cs"/>
              </a:defRPr>
            </a:pPr>
            <a:endParaRPr lang="en-US"/>
          </a:p>
        </c:txPr>
        <c:crossAx val="432235584"/>
        <c:crosses val="autoZero"/>
        <c:auto val="1"/>
        <c:lblAlgn val="ctr"/>
        <c:lblOffset val="100"/>
        <c:noMultiLvlLbl val="0"/>
      </c:catAx>
      <c:valAx>
        <c:axId val="432235584"/>
        <c:scaling>
          <c:orientation val="minMax"/>
        </c:scaling>
        <c:delete val="1"/>
        <c:axPos val="t"/>
        <c:numFmt formatCode="&quot;$&quot;#,##0.00_);[Red]\(&quot;$&quot;#,##0.00\)" sourceLinked="1"/>
        <c:majorTickMark val="none"/>
        <c:minorTickMark val="none"/>
        <c:tickLblPos val="nextTo"/>
        <c:crossAx val="43223460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34093777182751289"/>
          <c:y val="0.05"/>
          <c:w val="0.65218936970054531"/>
          <c:h val="0.86388910761154869"/>
        </c:manualLayout>
      </c:layout>
      <c:barChart>
        <c:barDir val="bar"/>
        <c:grouping val="clustered"/>
        <c:varyColors val="0"/>
        <c:ser>
          <c:idx val="0"/>
          <c:order val="0"/>
          <c:tx>
            <c:strRef>
              <c:f>'Profit &amp; Loss Summary'!$D$15</c:f>
              <c:strCache>
                <c:ptCount val="1"/>
                <c:pt idx="0">
                  <c:v>Actual</c:v>
                </c:pt>
              </c:strCache>
            </c:strRef>
          </c:tx>
          <c:spPr>
            <a:solidFill>
              <a:schemeClr val="accent5">
                <a:lumMod val="60000"/>
                <a:lumOff val="40000"/>
              </a:schemeClr>
            </a:solidFill>
            <a:ln>
              <a:noFill/>
            </a:ln>
            <a:effectLst/>
          </c:spPr>
          <c:invertIfNegative val="0"/>
          <c:cat>
            <c:strRef>
              <c:f>'Profit &amp; Loss Summary'!$B$16:$B$19</c:f>
              <c:strCache>
                <c:ptCount val="4"/>
                <c:pt idx="0">
                  <c:v>Exhibitors / Vendors</c:v>
                </c:pt>
                <c:pt idx="1">
                  <c:v>Admissions</c:v>
                </c:pt>
                <c:pt idx="2">
                  <c:v>Sales of Items</c:v>
                </c:pt>
                <c:pt idx="3">
                  <c:v>Ads in Program</c:v>
                </c:pt>
              </c:strCache>
            </c:strRef>
          </c:cat>
          <c:val>
            <c:numRef>
              <c:f>'Profit &amp; Loss Summary'!$D$16:$D$19</c:f>
              <c:numCache>
                <c:formatCode>"$"#,##0.00_);[Red]\("$"#,##0.00\)</c:formatCode>
                <c:ptCount val="4"/>
                <c:pt idx="0">
                  <c:v>2300</c:v>
                </c:pt>
                <c:pt idx="1">
                  <c:v>820</c:v>
                </c:pt>
                <c:pt idx="2">
                  <c:v>750</c:v>
                </c:pt>
                <c:pt idx="3">
                  <c:v>300</c:v>
                </c:pt>
              </c:numCache>
            </c:numRef>
          </c:val>
          <c:extLst>
            <c:ext xmlns:c16="http://schemas.microsoft.com/office/drawing/2014/chart" uri="{C3380CC4-5D6E-409C-BE32-E72D297353CC}">
              <c16:uniqueId val="{00000000-BF59-4C74-A979-E17B58DC7A8A}"/>
            </c:ext>
          </c:extLst>
        </c:ser>
        <c:dLbls>
          <c:showLegendKey val="0"/>
          <c:showVal val="0"/>
          <c:showCatName val="0"/>
          <c:showSerName val="0"/>
          <c:showPercent val="0"/>
          <c:showBubbleSize val="0"/>
        </c:dLbls>
        <c:gapWidth val="100"/>
        <c:axId val="635897560"/>
        <c:axId val="635898872"/>
      </c:barChart>
      <c:catAx>
        <c:axId val="635897560"/>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800" b="0" i="0" u="none" strike="noStrike" kern="1200" baseline="0">
                <a:solidFill>
                  <a:schemeClr val="tx1">
                    <a:lumMod val="75000"/>
                    <a:lumOff val="25000"/>
                  </a:schemeClr>
                </a:solidFill>
                <a:latin typeface="+mn-lt"/>
                <a:ea typeface="+mn-ea"/>
                <a:cs typeface="+mn-cs"/>
              </a:defRPr>
            </a:pPr>
            <a:endParaRPr lang="en-US"/>
          </a:p>
        </c:txPr>
        <c:crossAx val="635898872"/>
        <c:crosses val="autoZero"/>
        <c:auto val="1"/>
        <c:lblAlgn val="ctr"/>
        <c:lblOffset val="100"/>
        <c:noMultiLvlLbl val="0"/>
      </c:catAx>
      <c:valAx>
        <c:axId val="635898872"/>
        <c:scaling>
          <c:orientation val="minMax"/>
        </c:scaling>
        <c:delete val="1"/>
        <c:axPos val="t"/>
        <c:numFmt formatCode="&quot;$&quot;#,##0.00_);[Red]\(&quot;$&quot;#,##0.00\)" sourceLinked="1"/>
        <c:majorTickMark val="none"/>
        <c:minorTickMark val="none"/>
        <c:tickLblPos val="nextTo"/>
        <c:crossAx val="6358975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9210936132983378"/>
          <c:y val="0.20714238845144356"/>
          <c:w val="0.79677952755905512"/>
          <c:h val="0.72733052974444212"/>
        </c:manualLayout>
      </c:layout>
      <c:barChart>
        <c:barDir val="bar"/>
        <c:grouping val="clustered"/>
        <c:varyColors val="0"/>
        <c:ser>
          <c:idx val="0"/>
          <c:order val="0"/>
          <c:tx>
            <c:strRef>
              <c:f>'Profit &amp; Loss Summary'!$C$22</c:f>
              <c:strCache>
                <c:ptCount val="1"/>
                <c:pt idx="0">
                  <c:v>Estimated</c:v>
                </c:pt>
              </c:strCache>
            </c:strRef>
          </c:tx>
          <c:spPr>
            <a:solidFill>
              <a:schemeClr val="accent1">
                <a:lumMod val="60000"/>
                <a:lumOff val="40000"/>
              </a:schemeClr>
            </a:solidFill>
            <a:ln>
              <a:noFill/>
            </a:ln>
            <a:effectLst/>
          </c:spPr>
          <c:invertIfNegative val="0"/>
          <c:cat>
            <c:strRef>
              <c:f>'Profit &amp; Loss Summary'!$B$23:$B$24</c:f>
              <c:strCache>
                <c:ptCount val="2"/>
                <c:pt idx="0">
                  <c:v>Total Income</c:v>
                </c:pt>
                <c:pt idx="1">
                  <c:v>Total Expenses</c:v>
                </c:pt>
              </c:strCache>
            </c:strRef>
          </c:cat>
          <c:val>
            <c:numRef>
              <c:f>'Profit &amp; Loss Summary'!$C$23:$C$24</c:f>
              <c:numCache>
                <c:formatCode>"$"#,##0.00_);[Red]\("$"#,##0.00\)</c:formatCode>
                <c:ptCount val="2"/>
                <c:pt idx="0">
                  <c:v>4450</c:v>
                </c:pt>
                <c:pt idx="1">
                  <c:v>2090</c:v>
                </c:pt>
              </c:numCache>
            </c:numRef>
          </c:val>
          <c:extLst>
            <c:ext xmlns:c16="http://schemas.microsoft.com/office/drawing/2014/chart" uri="{C3380CC4-5D6E-409C-BE32-E72D297353CC}">
              <c16:uniqueId val="{00000000-41C8-4221-AF2B-27AF15B572CB}"/>
            </c:ext>
          </c:extLst>
        </c:ser>
        <c:ser>
          <c:idx val="1"/>
          <c:order val="1"/>
          <c:tx>
            <c:strRef>
              <c:f>'Profit &amp; Loss Summary'!$D$22</c:f>
              <c:strCache>
                <c:ptCount val="1"/>
                <c:pt idx="0">
                  <c:v>Actual</c:v>
                </c:pt>
              </c:strCache>
            </c:strRef>
          </c:tx>
          <c:spPr>
            <a:solidFill>
              <a:schemeClr val="accent5">
                <a:lumMod val="60000"/>
                <a:lumOff val="40000"/>
              </a:schemeClr>
            </a:solidFill>
            <a:ln>
              <a:noFill/>
            </a:ln>
            <a:effectLst/>
          </c:spPr>
          <c:invertIfNegative val="0"/>
          <c:cat>
            <c:strRef>
              <c:f>'Profit &amp; Loss Summary'!$B$23:$B$24</c:f>
              <c:strCache>
                <c:ptCount val="2"/>
                <c:pt idx="0">
                  <c:v>Total Income</c:v>
                </c:pt>
                <c:pt idx="1">
                  <c:v>Total Expenses</c:v>
                </c:pt>
              </c:strCache>
            </c:strRef>
          </c:cat>
          <c:val>
            <c:numRef>
              <c:f>'Profit &amp; Loss Summary'!$D$23:$D$24</c:f>
              <c:numCache>
                <c:formatCode>"$"#,##0.00_);[Red]\("$"#,##0.00\)</c:formatCode>
                <c:ptCount val="2"/>
                <c:pt idx="0">
                  <c:v>4170</c:v>
                </c:pt>
                <c:pt idx="1">
                  <c:v>1640</c:v>
                </c:pt>
              </c:numCache>
            </c:numRef>
          </c:val>
          <c:extLst>
            <c:ext xmlns:c16="http://schemas.microsoft.com/office/drawing/2014/chart" uri="{C3380CC4-5D6E-409C-BE32-E72D297353CC}">
              <c16:uniqueId val="{00000001-41C8-4221-AF2B-27AF15B572CB}"/>
            </c:ext>
          </c:extLst>
        </c:ser>
        <c:dLbls>
          <c:showLegendKey val="0"/>
          <c:showVal val="0"/>
          <c:showCatName val="0"/>
          <c:showSerName val="0"/>
          <c:showPercent val="0"/>
          <c:showBubbleSize val="0"/>
        </c:dLbls>
        <c:gapWidth val="100"/>
        <c:overlap val="-10"/>
        <c:axId val="434304232"/>
        <c:axId val="434304888"/>
      </c:barChart>
      <c:catAx>
        <c:axId val="434304232"/>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n-US"/>
          </a:p>
        </c:txPr>
        <c:crossAx val="434304888"/>
        <c:crosses val="autoZero"/>
        <c:auto val="1"/>
        <c:lblAlgn val="ctr"/>
        <c:lblOffset val="100"/>
        <c:noMultiLvlLbl val="0"/>
      </c:catAx>
      <c:valAx>
        <c:axId val="434304888"/>
        <c:scaling>
          <c:orientation val="minMax"/>
        </c:scaling>
        <c:delete val="1"/>
        <c:axPos val="t"/>
        <c:numFmt formatCode="&quot;$&quot;#,##0.00_);[Red]\(&quot;$&quot;#,##0.00\)" sourceLinked="1"/>
        <c:majorTickMark val="none"/>
        <c:minorTickMark val="none"/>
        <c:tickLblPos val="nextTo"/>
        <c:crossAx val="434304232"/>
        <c:crosses val="autoZero"/>
        <c:crossBetween val="between"/>
      </c:valAx>
      <c:spPr>
        <a:noFill/>
        <a:ln>
          <a:noFill/>
        </a:ln>
        <a:effectLst/>
      </c:spPr>
    </c:plotArea>
    <c:legend>
      <c:legendPos val="t"/>
      <c:layout>
        <c:manualLayout>
          <c:xMode val="edge"/>
          <c:yMode val="edge"/>
          <c:x val="0"/>
          <c:y val="7.1430493064627981E-3"/>
          <c:w val="0.33008651355748991"/>
          <c:h val="0.14528797408714542"/>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782009067048437"/>
          <c:y val="0.15729265091863517"/>
          <c:w val="0.72437922532410726"/>
          <c:h val="0.80104068241469817"/>
        </c:manualLayout>
      </c:layout>
      <c:barChart>
        <c:barDir val="bar"/>
        <c:grouping val="percentStacked"/>
        <c:varyColors val="0"/>
        <c:ser>
          <c:idx val="0"/>
          <c:order val="0"/>
          <c:tx>
            <c:strRef>
              <c:f>'Profit &amp; Loss Summary'!$B$24</c:f>
              <c:strCache>
                <c:ptCount val="1"/>
                <c:pt idx="0">
                  <c:v>Total Expenses</c:v>
                </c:pt>
              </c:strCache>
            </c:strRef>
          </c:tx>
          <c:spPr>
            <a:solidFill>
              <a:schemeClr val="accent4">
                <a:lumMod val="60000"/>
                <a:lumOff val="40000"/>
              </a:schemeClr>
            </a:solidFill>
            <a:ln>
              <a:noFill/>
            </a:ln>
            <a:effectLst/>
          </c:spPr>
          <c:invertIfNegative val="0"/>
          <c:cat>
            <c:strLit>
              <c:ptCount val="2"/>
              <c:pt idx="0">
                <c:v>Estimated</c:v>
              </c:pt>
              <c:pt idx="1">
                <c:v> Actual</c:v>
              </c:pt>
            </c:strLit>
          </c:cat>
          <c:val>
            <c:numRef>
              <c:f>'Profit &amp; Loss Summary'!$C$24:$D$24</c:f>
              <c:numCache>
                <c:formatCode>"$"#,##0.00_);[Red]\("$"#,##0.00\)</c:formatCode>
                <c:ptCount val="2"/>
                <c:pt idx="0">
                  <c:v>2090</c:v>
                </c:pt>
                <c:pt idx="1">
                  <c:v>1640</c:v>
                </c:pt>
              </c:numCache>
            </c:numRef>
          </c:val>
          <c:extLst>
            <c:ext xmlns:c16="http://schemas.microsoft.com/office/drawing/2014/chart" uri="{C3380CC4-5D6E-409C-BE32-E72D297353CC}">
              <c16:uniqueId val="{00000000-1E01-4B4A-87BE-3194ED4306B9}"/>
            </c:ext>
          </c:extLst>
        </c:ser>
        <c:ser>
          <c:idx val="1"/>
          <c:order val="1"/>
          <c:tx>
            <c:strRef>
              <c:f>'Profit &amp; Loss Summary'!$B$25</c:f>
              <c:strCache>
                <c:ptCount val="1"/>
                <c:pt idx="0">
                  <c:v>Profit or (Loss)</c:v>
                </c:pt>
              </c:strCache>
            </c:strRef>
          </c:tx>
          <c:spPr>
            <a:solidFill>
              <a:schemeClr val="accent2">
                <a:lumMod val="60000"/>
                <a:lumOff val="40000"/>
              </a:schemeClr>
            </a:solidFill>
            <a:ln>
              <a:noFill/>
            </a:ln>
            <a:effectLst/>
          </c:spPr>
          <c:invertIfNegative val="0"/>
          <c:cat>
            <c:strLit>
              <c:ptCount val="2"/>
              <c:pt idx="0">
                <c:v>Estimated</c:v>
              </c:pt>
              <c:pt idx="1">
                <c:v> Actual</c:v>
              </c:pt>
            </c:strLit>
          </c:cat>
          <c:val>
            <c:numRef>
              <c:f>'Profit &amp; Loss Summary'!$C$25:$D$25</c:f>
              <c:numCache>
                <c:formatCode>"$"#,##0.00_);[Red]\("$"#,##0.00\)</c:formatCode>
                <c:ptCount val="2"/>
                <c:pt idx="0">
                  <c:v>2360</c:v>
                </c:pt>
                <c:pt idx="1">
                  <c:v>2530</c:v>
                </c:pt>
              </c:numCache>
            </c:numRef>
          </c:val>
          <c:extLst>
            <c:ext xmlns:c16="http://schemas.microsoft.com/office/drawing/2014/chart" uri="{C3380CC4-5D6E-409C-BE32-E72D297353CC}">
              <c16:uniqueId val="{00000001-1E01-4B4A-87BE-3194ED4306B9}"/>
            </c:ext>
          </c:extLst>
        </c:ser>
        <c:dLbls>
          <c:showLegendKey val="0"/>
          <c:showVal val="0"/>
          <c:showCatName val="0"/>
          <c:showSerName val="0"/>
          <c:showPercent val="0"/>
          <c:showBubbleSize val="0"/>
        </c:dLbls>
        <c:gapWidth val="100"/>
        <c:overlap val="100"/>
        <c:axId val="424823688"/>
        <c:axId val="424822048"/>
      </c:barChart>
      <c:catAx>
        <c:axId val="424823688"/>
        <c:scaling>
          <c:orientation val="maxMin"/>
        </c:scaling>
        <c:delete val="0"/>
        <c:axPos val="l"/>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chemeClr val="tx1">
                    <a:lumMod val="75000"/>
                    <a:lumOff val="25000"/>
                  </a:schemeClr>
                </a:solidFill>
                <a:latin typeface="+mn-lt"/>
                <a:ea typeface="+mn-ea"/>
                <a:cs typeface="+mn-cs"/>
              </a:defRPr>
            </a:pPr>
            <a:endParaRPr lang="en-US"/>
          </a:p>
        </c:txPr>
        <c:crossAx val="424822048"/>
        <c:crosses val="autoZero"/>
        <c:auto val="1"/>
        <c:lblAlgn val="ctr"/>
        <c:lblOffset val="100"/>
        <c:noMultiLvlLbl val="0"/>
      </c:catAx>
      <c:valAx>
        <c:axId val="424822048"/>
        <c:scaling>
          <c:orientation val="minMax"/>
        </c:scaling>
        <c:delete val="1"/>
        <c:axPos val="t"/>
        <c:numFmt formatCode="0%" sourceLinked="1"/>
        <c:majorTickMark val="none"/>
        <c:minorTickMark val="none"/>
        <c:tickLblPos val="nextTo"/>
        <c:crossAx val="424823688"/>
        <c:crosses val="autoZero"/>
        <c:crossBetween val="between"/>
      </c:valAx>
      <c:spPr>
        <a:noFill/>
        <a:ln>
          <a:noFill/>
        </a:ln>
        <a:effectLst/>
      </c:spPr>
    </c:plotArea>
    <c:legend>
      <c:legendPos val="t"/>
      <c:layout>
        <c:manualLayout>
          <c:xMode val="edge"/>
          <c:yMode val="edge"/>
          <c:x val="0"/>
          <c:y val="5.5557742782152229E-3"/>
          <c:w val="0.58764067961344257"/>
          <c:h val="0.14536622026393473"/>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5</xdr:col>
      <xdr:colOff>0</xdr:colOff>
      <xdr:row>5</xdr:row>
      <xdr:rowOff>28576</xdr:rowOff>
    </xdr:from>
    <xdr:to>
      <xdr:col>7</xdr:col>
      <xdr:colOff>0</xdr:colOff>
      <xdr:row>13</xdr:row>
      <xdr:rowOff>0</xdr:rowOff>
    </xdr:to>
    <xdr:graphicFrame macro="">
      <xdr:nvGraphicFramePr>
        <xdr:cNvPr id="4" name="Chart 3" descr="Bar chart summarizing actual expenses in descending order">
          <a:extLst>
            <a:ext uri="{FF2B5EF4-FFF2-40B4-BE49-F238E27FC236}">
              <a16:creationId xmlns:a16="http://schemas.microsoft.com/office/drawing/2014/main" id="{00000000-0008-0000-02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0</xdr:colOff>
      <xdr:row>15</xdr:row>
      <xdr:rowOff>38100</xdr:rowOff>
    </xdr:from>
    <xdr:to>
      <xdr:col>7</xdr:col>
      <xdr:colOff>0</xdr:colOff>
      <xdr:row>20</xdr:row>
      <xdr:rowOff>0</xdr:rowOff>
    </xdr:to>
    <xdr:graphicFrame macro="">
      <xdr:nvGraphicFramePr>
        <xdr:cNvPr id="5" name="Chart 4" descr="Bar chart summarizing actual income in descending order">
          <a:extLst>
            <a:ext uri="{FF2B5EF4-FFF2-40B4-BE49-F238E27FC236}">
              <a16:creationId xmlns:a16="http://schemas.microsoft.com/office/drawing/2014/main"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114299</xdr:colOff>
      <xdr:row>27</xdr:row>
      <xdr:rowOff>0</xdr:rowOff>
    </xdr:from>
    <xdr:to>
      <xdr:col>6</xdr:col>
      <xdr:colOff>1647824</xdr:colOff>
      <xdr:row>31</xdr:row>
      <xdr:rowOff>304799</xdr:rowOff>
    </xdr:to>
    <xdr:graphicFrame macro="">
      <xdr:nvGraphicFramePr>
        <xdr:cNvPr id="2" name="Chart 1" descr="Bar chart comparing estimated and actual costs for income and expenses">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27</xdr:row>
      <xdr:rowOff>0</xdr:rowOff>
    </xdr:from>
    <xdr:to>
      <xdr:col>4</xdr:col>
      <xdr:colOff>0</xdr:colOff>
      <xdr:row>32</xdr:row>
      <xdr:rowOff>0</xdr:rowOff>
    </xdr:to>
    <xdr:graphicFrame macro="">
      <xdr:nvGraphicFramePr>
        <xdr:cNvPr id="3" name="Chart 2" descr="Bar chart comparing Expenses to Profit (Loss) ratio of estimate vs actual">
          <a:extLst>
            <a:ext uri="{FF2B5EF4-FFF2-40B4-BE49-F238E27FC236}">
              <a16:creationId xmlns:a16="http://schemas.microsoft.com/office/drawing/2014/main" id="{00000000-0008-0000-02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SiteExpenses" displayName="SiteExpenses" ref="B9:D14" totalsRowCount="1" headerRowDxfId="141" dataDxfId="140" totalsRowDxfId="20">
  <autoFilter ref="B9:D13" xr:uid="{00000000-0009-0000-0100-000001000000}">
    <filterColumn colId="0" hiddenButton="1"/>
    <filterColumn colId="1" hiddenButton="1"/>
    <filterColumn colId="2" hiddenButton="1"/>
  </autoFilter>
  <tableColumns count="3">
    <tableColumn id="1" xr3:uid="{00000000-0010-0000-0000-000001000000}" name="Site" totalsRowLabel="Total" dataDxfId="139" totalsRowDxfId="23"/>
    <tableColumn id="2" xr3:uid="{00000000-0010-0000-0000-000002000000}" name="Estimated" totalsRowFunction="sum" dataDxfId="138" totalsRowDxfId="22"/>
    <tableColumn id="3" xr3:uid="{00000000-0010-0000-0000-000003000000}" name="Actual" totalsRowFunction="sum" dataDxfId="137" totalsRowDxfId="21"/>
  </tableColumns>
  <tableStyleInfo name="TableStyleLight1 2" showFirstColumn="0" showLastColumn="0" showRowStripes="1" showColumnStripes="0"/>
  <extLst>
    <ext xmlns:x14="http://schemas.microsoft.com/office/spreadsheetml/2009/9/main" uri="{504A1905-F514-4f6f-8877-14C23A59335A}">
      <x14:table altTextSummary="Enter Estimated and Actual Site Expenses in this table. Total is auto calculated at the end"/>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1" xr:uid="{00000000-000C-0000-FFFF-FFFF09000000}" name="ExhibitorsAndVendors" displayName="ExhibitorsAndVendors" ref="B23:G27" totalsRowCount="1" headerRowDxfId="43" dataDxfId="98" totalsRowDxfId="36">
  <tableColumns count="6">
    <tableColumn id="2" xr3:uid="{00000000-0010-0000-0900-000002000000}" name="Type" totalsRowLabel="Total" dataDxfId="97" totalsRowDxfId="42"/>
    <tableColumn id="3" xr3:uid="{00000000-0010-0000-0900-000003000000}" name="Estimated" totalsRowFunction="sum" dataDxfId="96" totalsRowDxfId="41"/>
    <tableColumn id="4" xr3:uid="{00000000-0010-0000-0900-000004000000}" name="Actual" totalsRowFunction="sum" dataDxfId="95" totalsRowDxfId="40"/>
    <tableColumn id="5" xr3:uid="{00000000-0010-0000-0900-000005000000}" name="Price" dataDxfId="94" totalsRowDxfId="39"/>
    <tableColumn id="6" xr3:uid="{00000000-0010-0000-0900-000006000000}" name="Estimated Income" totalsRowFunction="sum" dataDxfId="93" totalsRowDxfId="38">
      <calculatedColumnFormula>C24*E24</calculatedColumnFormula>
    </tableColumn>
    <tableColumn id="7" xr3:uid="{00000000-0010-0000-0900-000007000000}" name="Actual Income" totalsRowFunction="sum" dataDxfId="92" totalsRowDxfId="37">
      <calculatedColumnFormula>D24*E24</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exhibitors and vendors, booth Type, and Price in this table. Estimated and Actual Income from exhibitors for each booth type and Totals are auto calculated"/>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2" xr:uid="{00000000-000C-0000-FFFF-FFFF0A000000}" name="SaleOfItems" displayName="SaleOfItems" ref="B30:G35" totalsRowCount="1" headerRowDxfId="35" dataDxfId="91" totalsRowDxfId="28">
  <tableColumns count="6">
    <tableColumn id="2" xr3:uid="{00000000-0010-0000-0A00-000002000000}" name="Type" totalsRowLabel="Total" dataDxfId="90" totalsRowDxfId="34"/>
    <tableColumn id="3" xr3:uid="{00000000-0010-0000-0A00-000003000000}" name="Estimated" totalsRowFunction="sum" dataDxfId="89" totalsRowDxfId="33"/>
    <tableColumn id="4" xr3:uid="{00000000-0010-0000-0A00-000004000000}" name="Actual" totalsRowFunction="sum" dataDxfId="88" totalsRowDxfId="32"/>
    <tableColumn id="5" xr3:uid="{00000000-0010-0000-0A00-000005000000}" name="Price" dataDxfId="87" totalsRowDxfId="31"/>
    <tableColumn id="6" xr3:uid="{00000000-0010-0000-0A00-000006000000}" name="Estimated Income" totalsRowFunction="sum" dataDxfId="86" totalsRowDxfId="30">
      <calculatedColumnFormula>C31*E31</calculatedColumnFormula>
    </tableColumn>
    <tableColumn id="7" xr3:uid="{00000000-0010-0000-0A00-000007000000}" name="Actual Income" totalsRowFunction="sum" dataDxfId="85" totalsRowDxfId="29">
      <calculatedColumnFormula>D31*E31</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items sold, Type, and Price in this table. Estimated and Actual Income from sales of items and Totals are auto calculated"/>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B000000}" name="ExpensesSummary" displayName="ExpensesSummary" ref="B5:D13" totalsRowCount="1" totalsRowDxfId="68" headerRowBorderDxfId="84">
  <tableColumns count="3">
    <tableColumn id="1" xr3:uid="{00000000-0010-0000-0B00-000001000000}" name="Expenses Summary" totalsRowLabel="Total" dataDxfId="83" totalsRowDxfId="71"/>
    <tableColumn id="2" xr3:uid="{00000000-0010-0000-0B00-000002000000}" name="Estimated" totalsRowFunction="sum" dataDxfId="82" totalsRowDxfId="70"/>
    <tableColumn id="3" xr3:uid="{00000000-0010-0000-0B00-000003000000}" name="Actual" totalsRowFunction="sum" dataDxfId="81" totalsRowDxfId="69"/>
  </tableColumns>
  <tableStyleInfo name="TableStyleLight1 2" showFirstColumn="0" showLastColumn="0" showRowStripes="1" showColumnStripes="0"/>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C000000}" name="IncomeSummary" displayName="IncomeSummary" ref="B15:D20" totalsRowCount="1" dataDxfId="79" totalsRowDxfId="64" headerRowBorderDxfId="80">
  <tableColumns count="3">
    <tableColumn id="1" xr3:uid="{00000000-0010-0000-0C00-000001000000}" name="Income Summary" totalsRowLabel="Total" dataDxfId="78" totalsRowDxfId="67"/>
    <tableColumn id="2" xr3:uid="{00000000-0010-0000-0C00-000002000000}" name="Estimated" totalsRowFunction="sum" dataDxfId="77" totalsRowDxfId="66"/>
    <tableColumn id="3" xr3:uid="{00000000-0010-0000-0C00-000003000000}" name="Actual" totalsRowFunction="sum" dataDxfId="76" totalsRowDxfId="65"/>
  </tableColumns>
  <tableStyleInfo name="TableStyleLight1 2" showFirstColumn="0" showLastColumn="0" showRowStripes="1" showColumnStripes="0"/>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D000000}" name="ProfitAndLoss" displayName="ProfitAndLoss" ref="B22:D25" totalsRowCount="1" totalsRowDxfId="60" headerRowBorderDxfId="75">
  <tableColumns count="3">
    <tableColumn id="1" xr3:uid="{00000000-0010-0000-0D00-000001000000}" name="Profit &amp; Loss Summary" totalsRowLabel="Profit or (Loss)" dataDxfId="74" totalsRowDxfId="63"/>
    <tableColumn id="2" xr3:uid="{00000000-0010-0000-0D00-000002000000}" name="Estimated" totalsRowFunction="custom" dataDxfId="73" totalsRowDxfId="62">
      <totalsRowFormula>C23-C24</totalsRowFormula>
    </tableColumn>
    <tableColumn id="3" xr3:uid="{00000000-0010-0000-0D00-000003000000}" name="Actual" totalsRowFunction="custom" dataDxfId="72" totalsRowDxfId="61">
      <totalsRowFormula>D23-D24</totalsRowFormula>
    </tableColumn>
  </tableColumns>
  <tableStyleInfo name="TableStyleLight1 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1000000}" name="RefreshmentsExpenses" displayName="RefreshmentsExpenses" ref="B24:D29" totalsRowCount="1" dataDxfId="136" totalsRowDxfId="4">
  <autoFilter ref="B24:D28" xr:uid="{00000000-0009-0000-0100-000003000000}">
    <filterColumn colId="0" hiddenButton="1"/>
    <filterColumn colId="1" hiddenButton="1"/>
    <filterColumn colId="2" hiddenButton="1"/>
  </autoFilter>
  <tableColumns count="3">
    <tableColumn id="1" xr3:uid="{00000000-0010-0000-0100-000001000000}" name="Refreshments" totalsRowLabel="Total" dataDxfId="135" totalsRowDxfId="7"/>
    <tableColumn id="2" xr3:uid="{00000000-0010-0000-0100-000002000000}" name="Estimated" totalsRowFunction="sum" dataDxfId="134" totalsRowDxfId="6"/>
    <tableColumn id="3" xr3:uid="{00000000-0010-0000-0100-000003000000}" name="Actual" totalsRowFunction="sum" dataDxfId="133" totalsRowDxfId="5"/>
  </tableColumns>
  <tableStyleInfo name="TableStyleLight1 2" showFirstColumn="0" showLastColumn="0" showRowStripes="1" showColumnStripes="0"/>
  <extLst>
    <ext xmlns:x14="http://schemas.microsoft.com/office/spreadsheetml/2009/9/main" uri="{504A1905-F514-4f6f-8877-14C23A59335A}">
      <x14:table altTextSummary="Enter Estimated and Actual Refreshments Expenses in this table. Total is auto calculated at the end"/>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DecorationsExpenses" displayName="DecorationsExpenses" ref="B16:D22" totalsRowCount="1" dataDxfId="132" totalsRowDxfId="8">
  <autoFilter ref="B16:D21" xr:uid="{00000000-0009-0000-0100-000004000000}">
    <filterColumn colId="0" hiddenButton="1"/>
    <filterColumn colId="1" hiddenButton="1"/>
    <filterColumn colId="2" hiddenButton="1"/>
  </autoFilter>
  <tableColumns count="3">
    <tableColumn id="1" xr3:uid="{00000000-0010-0000-0200-000001000000}" name="Decorations" totalsRowLabel="Total" dataDxfId="131" totalsRowDxfId="11"/>
    <tableColumn id="2" xr3:uid="{00000000-0010-0000-0200-000002000000}" name="Estimated" totalsRowFunction="sum" dataDxfId="130" totalsRowDxfId="10"/>
    <tableColumn id="3" xr3:uid="{00000000-0010-0000-0200-000003000000}" name="Actual" totalsRowFunction="sum" dataDxfId="129" totalsRowDxfId="9"/>
  </tableColumns>
  <tableStyleInfo name="TableStyleLight1 2" showFirstColumn="0" showLastColumn="0" showRowStripes="1" showColumnStripes="0"/>
  <extLst>
    <ext xmlns:x14="http://schemas.microsoft.com/office/spreadsheetml/2009/9/main" uri="{504A1905-F514-4f6f-8877-14C23A59335A}">
      <x14:table altTextSummary="Enter Estimated and Actual Decorations Expenses in this table. Total is auto calculated at the end"/>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ProgramExpenses" displayName="ProgramExpenses" ref="F5:H11" totalsRowCount="1" dataDxfId="128" totalsRowDxfId="24">
  <autoFilter ref="F5:H10" xr:uid="{00000000-0009-0000-0100-000005000000}">
    <filterColumn colId="0" hiddenButton="1"/>
    <filterColumn colId="1" hiddenButton="1"/>
    <filterColumn colId="2" hiddenButton="1"/>
  </autoFilter>
  <tableColumns count="3">
    <tableColumn id="1" xr3:uid="{00000000-0010-0000-0300-000001000000}" name="Program" totalsRowLabel="Total" dataDxfId="127" totalsRowDxfId="27"/>
    <tableColumn id="2" xr3:uid="{00000000-0010-0000-0300-000002000000}" name="Estimated" totalsRowFunction="sum" dataDxfId="126" totalsRowDxfId="26"/>
    <tableColumn id="3" xr3:uid="{00000000-0010-0000-0300-000003000000}" name="Actual" totalsRowFunction="sum" dataDxfId="125" totalsRowDxfId="25"/>
  </tableColumns>
  <tableStyleInfo name="TableStyleLight1 2" showFirstColumn="0" showLastColumn="0" showRowStripes="1" showColumnStripes="0"/>
  <extLst>
    <ext xmlns:x14="http://schemas.microsoft.com/office/spreadsheetml/2009/9/main" uri="{504A1905-F514-4f6f-8877-14C23A59335A}">
      <x14:table altTextSummary="Enter Estimated and Actual Program Expenses in this table. Total is auto calculated at the end"/>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PublicityExpenses" displayName="PublicityExpenses" ref="F13:H17" totalsRowCount="1" dataDxfId="124" totalsRowDxfId="16">
  <autoFilter ref="F13:H16" xr:uid="{00000000-0009-0000-0100-000006000000}">
    <filterColumn colId="0" hiddenButton="1"/>
    <filterColumn colId="1" hiddenButton="1"/>
    <filterColumn colId="2" hiddenButton="1"/>
  </autoFilter>
  <tableColumns count="3">
    <tableColumn id="1" xr3:uid="{00000000-0010-0000-0400-000001000000}" name="Publicity" totalsRowLabel="Total" dataDxfId="123" totalsRowDxfId="19"/>
    <tableColumn id="2" xr3:uid="{00000000-0010-0000-0400-000002000000}" name="Estimated" totalsRowFunction="sum" dataDxfId="122" totalsRowDxfId="18"/>
    <tableColumn id="3" xr3:uid="{00000000-0010-0000-0400-000003000000}" name="Actual" totalsRowFunction="sum" dataDxfId="121" totalsRowDxfId="17"/>
  </tableColumns>
  <tableStyleInfo name="TableStyleLight1 2" showFirstColumn="0" showLastColumn="0" showRowStripes="1" showColumnStripes="0"/>
  <extLst>
    <ext xmlns:x14="http://schemas.microsoft.com/office/spreadsheetml/2009/9/main" uri="{504A1905-F514-4f6f-8877-14C23A59335A}">
      <x14:table altTextSummary="Enter Estimated and Actual Publicity Expenses in this table. Total is auto calculated at the end"/>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PrizesExpenses" displayName="PrizesExpenses" ref="F19:H22" totalsRowCount="1" dataDxfId="120" totalsRowDxfId="12">
  <autoFilter ref="F19:H21" xr:uid="{00000000-0009-0000-0100-000007000000}">
    <filterColumn colId="0" hiddenButton="1"/>
    <filterColumn colId="1" hiddenButton="1"/>
    <filterColumn colId="2" hiddenButton="1"/>
  </autoFilter>
  <tableColumns count="3">
    <tableColumn id="1" xr3:uid="{00000000-0010-0000-0500-000001000000}" name="Prizes" totalsRowLabel="Total" dataDxfId="119" totalsRowDxfId="15"/>
    <tableColumn id="2" xr3:uid="{00000000-0010-0000-0500-000002000000}" name="Estimated" totalsRowFunction="sum" dataDxfId="118" totalsRowDxfId="14"/>
    <tableColumn id="3" xr3:uid="{00000000-0010-0000-0500-000003000000}" name="Actual" totalsRowFunction="sum" dataDxfId="117" totalsRowDxfId="13"/>
  </tableColumns>
  <tableStyleInfo name="TableStyleLight1 2" showFirstColumn="0" showLastColumn="0" showRowStripes="1" showColumnStripes="0"/>
  <extLst>
    <ext xmlns:x14="http://schemas.microsoft.com/office/spreadsheetml/2009/9/main" uri="{504A1905-F514-4f6f-8877-14C23A59335A}">
      <x14:table altTextSummary="Enter Estimated and Actual Prizes Expenses in this table. Total is auto calculated at the end"/>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6000000}" name="MiscellaneousExpenses" displayName="MiscellaneousExpenses" ref="F24:H29" totalsRowCount="1" dataDxfId="116" totalsRowDxfId="0">
  <autoFilter ref="F24:H28" xr:uid="{00000000-0009-0000-0100-000008000000}">
    <filterColumn colId="0" hiddenButton="1"/>
    <filterColumn colId="1" hiddenButton="1"/>
    <filterColumn colId="2" hiddenButton="1"/>
  </autoFilter>
  <tableColumns count="3">
    <tableColumn id="1" xr3:uid="{00000000-0010-0000-0600-000001000000}" name="Miscellaneous" totalsRowLabel="Total" dataDxfId="115" totalsRowDxfId="3"/>
    <tableColumn id="2" xr3:uid="{00000000-0010-0000-0600-000002000000}" name="Estimated" totalsRowFunction="sum" dataDxfId="114" totalsRowDxfId="2"/>
    <tableColumn id="3" xr3:uid="{00000000-0010-0000-0600-000003000000}" name="Actual" totalsRowFunction="sum" dataDxfId="113" totalsRowDxfId="1"/>
  </tableColumns>
  <tableStyleInfo name="TableStyleLight1 2" showFirstColumn="0" showLastColumn="0" showRowStripes="1" showColumnStripes="0"/>
  <extLst>
    <ext xmlns:x14="http://schemas.microsoft.com/office/spreadsheetml/2009/9/main" uri="{504A1905-F514-4f6f-8877-14C23A59335A}">
      <x14:table altTextSummary="Enter Estimated and Actual Miscellaneous Expenses in this table. Total is auto calculated at the end"/>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7000000}" name="Admissions" displayName="Admissions" ref="B9:G13" totalsRowCount="1" headerRowDxfId="59" dataDxfId="112" totalsRowDxfId="51">
  <tableColumns count="6">
    <tableColumn id="2" xr3:uid="{00000000-0010-0000-0700-000002000000}" name="Type" totalsRowLabel="Total" dataDxfId="111" totalsRowDxfId="57"/>
    <tableColumn id="3" xr3:uid="{00000000-0010-0000-0700-000003000000}" name="Estimated" totalsRowFunction="sum" dataDxfId="110" totalsRowDxfId="56"/>
    <tableColumn id="4" xr3:uid="{00000000-0010-0000-0700-000004000000}" name="Actual" totalsRowFunction="sum" dataDxfId="109" totalsRowDxfId="55"/>
    <tableColumn id="6" xr3:uid="{00000000-0010-0000-0700-000006000000}" name="Price" dataDxfId="108" totalsRowDxfId="54"/>
    <tableColumn id="7" xr3:uid="{00000000-0010-0000-0700-000007000000}" name="Estimated Income" totalsRowFunction="sum" dataDxfId="107" totalsRowDxfId="53">
      <calculatedColumnFormula>C10*E10</calculatedColumnFormula>
    </tableColumn>
    <tableColumn id="5" xr3:uid="{00000000-0010-0000-0700-000005000000}" name="Actual Income" totalsRowFunction="sum" dataDxfId="106" totalsRowDxfId="52">
      <calculatedColumnFormula>D10*E10</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missions, Type, and Price in this table. Estimated and Actual Income from admissions and Totals are auto calculated"/>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8000000}" name="AdsInProgram" displayName="AdsInProgram" ref="B16:G20" totalsRowCount="1" headerRowDxfId="58" dataDxfId="105" totalsRowDxfId="44">
  <tableColumns count="6">
    <tableColumn id="2" xr3:uid="{00000000-0010-0000-0800-000002000000}" name="Type" totalsRowLabel="Total" dataDxfId="104" totalsRowDxfId="50"/>
    <tableColumn id="3" xr3:uid="{00000000-0010-0000-0800-000003000000}" name="Estimated" totalsRowFunction="sum" dataDxfId="103" totalsRowDxfId="49"/>
    <tableColumn id="4" xr3:uid="{00000000-0010-0000-0800-000004000000}" name="Actual" totalsRowFunction="sum" dataDxfId="102" totalsRowDxfId="48"/>
    <tableColumn id="5" xr3:uid="{00000000-0010-0000-0800-000005000000}" name="Price" dataDxfId="101" totalsRowDxfId="47"/>
    <tableColumn id="6" xr3:uid="{00000000-0010-0000-0800-000006000000}" name="Estimated Income" totalsRowFunction="sum" dataDxfId="100" totalsRowDxfId="46">
      <calculatedColumnFormula>C17*E17</calculatedColumnFormula>
    </tableColumn>
    <tableColumn id="7" xr3:uid="{00000000-0010-0000-0800-000007000000}" name="Actual Income" totalsRowFunction="sum" dataDxfId="99" totalsRowDxfId="45">
      <calculatedColumnFormula>D17*E17</calculatedColumnFormula>
    </tableColumn>
  </tableColumns>
  <tableStyleInfo name="TableStyleLight1 2" showFirstColumn="0" showLastColumn="0" showRowStripes="1" showColumnStripes="0"/>
  <extLst>
    <ext xmlns:x14="http://schemas.microsoft.com/office/spreadsheetml/2009/9/main" uri="{504A1905-F514-4f6f-8877-14C23A59335A}">
      <x14:table altTextSummary="Enter Estimated and Actual number of Ads, Type, and Price in this table. Estimated and Actual Income from ads and Totals are auto calculated"/>
    </ext>
  </extLst>
</table>
</file>

<file path=xl/theme/theme1.xml><?xml version="1.0" encoding="utf-8"?>
<a:theme xmlns:a="http://schemas.openxmlformats.org/drawingml/2006/main" name="Office Theme">
  <a:themeElements>
    <a:clrScheme name="Custom 49">
      <a:dk1>
        <a:sysClr val="windowText" lastClr="000000"/>
      </a:dk1>
      <a:lt1>
        <a:sysClr val="window" lastClr="FFFFFF"/>
      </a:lt1>
      <a:dk2>
        <a:srgbClr val="44546A"/>
      </a:dk2>
      <a:lt2>
        <a:srgbClr val="E7E6E6"/>
      </a:lt2>
      <a:accent1>
        <a:srgbClr val="62BECA"/>
      </a:accent1>
      <a:accent2>
        <a:srgbClr val="FFA900"/>
      </a:accent2>
      <a:accent3>
        <a:srgbClr val="A5A5A5"/>
      </a:accent3>
      <a:accent4>
        <a:srgbClr val="F0278F"/>
      </a:accent4>
      <a:accent5>
        <a:srgbClr val="1452FB"/>
      </a:accent5>
      <a:accent6>
        <a:srgbClr val="45FF92"/>
      </a:accent6>
      <a:hlink>
        <a:srgbClr val="0563C1"/>
      </a:hlink>
      <a:folHlink>
        <a:srgbClr val="954F72"/>
      </a:folHlink>
    </a:clrScheme>
    <a:fontScheme name="Custom 63">
      <a:majorFont>
        <a:latin typeface="Candara"/>
        <a:ea typeface=""/>
        <a:cs typeface=""/>
      </a:majorFont>
      <a:minorFont>
        <a:latin typeface="Tahoma"/>
        <a:ea typeface=""/>
        <a:cs typeface=""/>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3" Type="http://schemas.openxmlformats.org/officeDocument/2006/relationships/table" Target="../tables/table2.xml"/><Relationship Id="rId7" Type="http://schemas.openxmlformats.org/officeDocument/2006/relationships/table" Target="../tables/table6.xml"/><Relationship Id="rId2" Type="http://schemas.openxmlformats.org/officeDocument/2006/relationships/table" Target="../tables/table1.xml"/><Relationship Id="rId1" Type="http://schemas.openxmlformats.org/officeDocument/2006/relationships/printerSettings" Target="../printerSettings/printerSettings1.bin"/><Relationship Id="rId6" Type="http://schemas.openxmlformats.org/officeDocument/2006/relationships/table" Target="../tables/table5.xml"/><Relationship Id="rId5" Type="http://schemas.openxmlformats.org/officeDocument/2006/relationships/table" Target="../tables/table4.xml"/><Relationship Id="rId4" Type="http://schemas.openxmlformats.org/officeDocument/2006/relationships/table" Target="../tables/table3.xml"/></Relationships>
</file>

<file path=xl/worksheets/_rels/sheet2.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table" Target="../tables/table8.xml"/><Relationship Id="rId1" Type="http://schemas.openxmlformats.org/officeDocument/2006/relationships/printerSettings" Target="../printerSettings/printerSettings2.bin"/><Relationship Id="rId5" Type="http://schemas.openxmlformats.org/officeDocument/2006/relationships/table" Target="../tables/table11.xml"/><Relationship Id="rId4" Type="http://schemas.openxmlformats.org/officeDocument/2006/relationships/table" Target="../tables/table10.xml"/></Relationships>
</file>

<file path=xl/worksheets/_rels/sheet3.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table" Target="../tables/table14.xml"/><Relationship Id="rId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38"/>
  <sheetViews>
    <sheetView showGridLines="0" zoomScaleNormal="100" workbookViewId="0">
      <selection activeCell="N28" sqref="N28"/>
    </sheetView>
  </sheetViews>
  <sheetFormatPr defaultColWidth="9.140625" defaultRowHeight="20.100000000000001" customHeight="1" x14ac:dyDescent="0.2"/>
  <cols>
    <col min="1" max="1" width="1.7109375" style="1" customWidth="1"/>
    <col min="2" max="2" width="21.7109375" style="8" customWidth="1"/>
    <col min="3" max="4" width="12.7109375" style="1" customWidth="1"/>
    <col min="5" max="5" width="4.140625" style="1" customWidth="1"/>
    <col min="6" max="6" width="21.7109375" style="8" customWidth="1"/>
    <col min="7" max="8" width="12.7109375" style="1" customWidth="1"/>
    <col min="9" max="11" width="1.7109375" style="1" customWidth="1"/>
    <col min="12" max="16384" width="9.140625" style="1"/>
  </cols>
  <sheetData>
    <row r="1" spans="2:9" ht="9" customHeight="1" x14ac:dyDescent="0.2">
      <c r="I1" s="1" t="s">
        <v>40</v>
      </c>
    </row>
    <row r="2" spans="2:9" s="21" customFormat="1" ht="41.25" customHeight="1" x14ac:dyDescent="0.5">
      <c r="B2" s="24" t="s">
        <v>39</v>
      </c>
      <c r="C2" s="24"/>
      <c r="D2" s="24"/>
      <c r="E2" s="24"/>
      <c r="F2" s="24"/>
      <c r="G2" s="24"/>
      <c r="H2" s="24"/>
    </row>
    <row r="3" spans="2:9" s="22" customFormat="1" ht="43.5" customHeight="1" x14ac:dyDescent="0.2">
      <c r="B3" s="36" t="s">
        <v>41</v>
      </c>
      <c r="C3" s="36"/>
      <c r="D3" s="36"/>
      <c r="E3" s="36"/>
      <c r="F3" s="36"/>
      <c r="G3" s="36"/>
      <c r="H3" s="36"/>
    </row>
    <row r="4" spans="2:9" ht="20.100000000000001" customHeight="1" x14ac:dyDescent="0.2">
      <c r="B4" s="23"/>
      <c r="C4" s="23"/>
      <c r="D4" s="23"/>
      <c r="E4" s="23"/>
      <c r="F4" s="23"/>
      <c r="G4" s="23"/>
      <c r="H4" s="23"/>
    </row>
    <row r="5" spans="2:9" ht="20.100000000000001" customHeight="1" x14ac:dyDescent="0.2">
      <c r="B5" s="45" t="s">
        <v>44</v>
      </c>
      <c r="C5" s="44" t="s">
        <v>4</v>
      </c>
      <c r="D5" s="44" t="s">
        <v>5</v>
      </c>
      <c r="F5" s="40" t="s">
        <v>22</v>
      </c>
      <c r="G5" s="44" t="s">
        <v>4</v>
      </c>
      <c r="H5" s="44" t="s">
        <v>5</v>
      </c>
    </row>
    <row r="6" spans="2:9" ht="20.100000000000001" customHeight="1" x14ac:dyDescent="0.2">
      <c r="B6" s="45"/>
      <c r="C6" s="4">
        <f>SiteExpenses[[#Totals],[Estimated]]+DecorationsExpenses[[#Totals],[Estimated]]+PublicityExpenses[[#Totals],[Estimated]]+MiscellaneousExpenses[[#Totals],[Estimated]]+RefreshmentsExpenses[[#Totals],[Estimated]]+ProgramExpenses[[#Totals],[Estimated]]+PrizesExpenses[[#Totals],[Estimated]]</f>
        <v>2090</v>
      </c>
      <c r="D6" s="4">
        <f>SiteExpenses[[#Totals],[Actual]]+DecorationsExpenses[[#Totals],[Actual]]+PublicityExpenses[[#Totals],[Actual]]+MiscellaneousExpenses[[#Totals],[Actual]]+RefreshmentsExpenses[[#Totals],[Actual]]+ProgramExpenses[[#Totals],[Actual]]+PrizesExpenses[[#Totals],[Actual]]</f>
        <v>1640</v>
      </c>
      <c r="F6" s="8" t="s">
        <v>18</v>
      </c>
      <c r="G6" s="4">
        <v>750</v>
      </c>
      <c r="H6" s="5">
        <v>700</v>
      </c>
    </row>
    <row r="7" spans="2:9" ht="20.100000000000001" customHeight="1" x14ac:dyDescent="0.2">
      <c r="F7" s="8" t="s">
        <v>19</v>
      </c>
      <c r="G7" s="4">
        <v>150</v>
      </c>
      <c r="H7" s="5">
        <v>0</v>
      </c>
    </row>
    <row r="8" spans="2:9" ht="20.100000000000001" customHeight="1" x14ac:dyDescent="0.2">
      <c r="F8" s="8" t="s">
        <v>20</v>
      </c>
      <c r="G8" s="4"/>
      <c r="H8" s="5"/>
    </row>
    <row r="9" spans="2:9" ht="20.100000000000001" customHeight="1" x14ac:dyDescent="0.2">
      <c r="B9" s="40" t="s">
        <v>11</v>
      </c>
      <c r="C9" s="44" t="s">
        <v>4</v>
      </c>
      <c r="D9" s="44" t="s">
        <v>5</v>
      </c>
      <c r="F9" s="8" t="s">
        <v>21</v>
      </c>
      <c r="G9" s="4"/>
      <c r="H9" s="5"/>
    </row>
    <row r="10" spans="2:9" ht="20.100000000000001" customHeight="1" x14ac:dyDescent="0.2">
      <c r="B10" s="8" t="s">
        <v>0</v>
      </c>
      <c r="C10" s="4">
        <v>500</v>
      </c>
      <c r="D10" s="5">
        <v>450</v>
      </c>
      <c r="F10" s="8" t="s">
        <v>33</v>
      </c>
      <c r="G10" s="4"/>
      <c r="H10" s="5"/>
    </row>
    <row r="11" spans="2:9" ht="20.100000000000001" customHeight="1" x14ac:dyDescent="0.2">
      <c r="B11" s="8" t="s">
        <v>1</v>
      </c>
      <c r="C11" s="4"/>
      <c r="D11" s="5"/>
      <c r="F11" s="33" t="s">
        <v>34</v>
      </c>
      <c r="G11" s="34">
        <f>SUBTOTAL(109,ProgramExpenses[Estimated])</f>
        <v>900</v>
      </c>
      <c r="H11" s="46">
        <f>SUBTOTAL(109,ProgramExpenses[Actual])</f>
        <v>700</v>
      </c>
    </row>
    <row r="12" spans="2:9" ht="20.100000000000001" customHeight="1" x14ac:dyDescent="0.2">
      <c r="B12" s="8" t="s">
        <v>2</v>
      </c>
      <c r="C12" s="4"/>
      <c r="D12" s="5"/>
      <c r="F12" s="23"/>
      <c r="G12" s="23"/>
      <c r="H12" s="23"/>
    </row>
    <row r="13" spans="2:9" ht="20.100000000000001" customHeight="1" x14ac:dyDescent="0.2">
      <c r="B13" s="8" t="s">
        <v>3</v>
      </c>
      <c r="C13" s="4"/>
      <c r="D13" s="5"/>
      <c r="F13" s="40" t="s">
        <v>23</v>
      </c>
      <c r="G13" s="44" t="s">
        <v>4</v>
      </c>
      <c r="H13" s="44" t="s">
        <v>5</v>
      </c>
    </row>
    <row r="14" spans="2:9" ht="20.100000000000001" customHeight="1" x14ac:dyDescent="0.2">
      <c r="B14" s="33" t="s">
        <v>34</v>
      </c>
      <c r="C14" s="34">
        <f>SUBTOTAL(109,SiteExpenses[Estimated])</f>
        <v>500</v>
      </c>
      <c r="D14" s="46">
        <f>SUBTOTAL(109,SiteExpenses[Actual])</f>
        <v>450</v>
      </c>
      <c r="F14" s="8" t="s">
        <v>24</v>
      </c>
      <c r="G14" s="4"/>
      <c r="H14" s="5"/>
    </row>
    <row r="15" spans="2:9" ht="20.100000000000001" customHeight="1" x14ac:dyDescent="0.2">
      <c r="B15" s="23"/>
      <c r="C15" s="23"/>
      <c r="D15" s="23"/>
      <c r="F15" s="8" t="s">
        <v>43</v>
      </c>
      <c r="G15" s="4">
        <v>20</v>
      </c>
      <c r="H15" s="5">
        <v>20</v>
      </c>
    </row>
    <row r="16" spans="2:9" ht="20.100000000000001" customHeight="1" x14ac:dyDescent="0.2">
      <c r="B16" s="40" t="s">
        <v>12</v>
      </c>
      <c r="C16" s="44" t="s">
        <v>4</v>
      </c>
      <c r="D16" s="44" t="s">
        <v>5</v>
      </c>
      <c r="F16" s="8" t="s">
        <v>25</v>
      </c>
      <c r="G16" s="4"/>
      <c r="H16" s="5"/>
    </row>
    <row r="17" spans="2:8" ht="20.100000000000001" customHeight="1" x14ac:dyDescent="0.2">
      <c r="B17" s="8" t="s">
        <v>13</v>
      </c>
      <c r="C17" s="4">
        <v>200</v>
      </c>
      <c r="D17" s="4">
        <v>100</v>
      </c>
      <c r="F17" s="33" t="s">
        <v>34</v>
      </c>
      <c r="G17" s="34">
        <f>SUBTOTAL(109,PublicityExpenses[Estimated])</f>
        <v>20</v>
      </c>
      <c r="H17" s="46">
        <f>SUBTOTAL(109,PublicityExpenses[Actual])</f>
        <v>20</v>
      </c>
    </row>
    <row r="18" spans="2:8" ht="20.100000000000001" customHeight="1" x14ac:dyDescent="0.2">
      <c r="B18" s="8" t="s">
        <v>14</v>
      </c>
      <c r="C18" s="4"/>
      <c r="D18" s="4"/>
      <c r="F18" s="23"/>
      <c r="G18" s="23"/>
      <c r="H18" s="23"/>
    </row>
    <row r="19" spans="2:8" ht="20.100000000000001" customHeight="1" x14ac:dyDescent="0.2">
      <c r="B19" s="8" t="s">
        <v>15</v>
      </c>
      <c r="C19" s="4"/>
      <c r="D19" s="4"/>
      <c r="F19" s="40" t="s">
        <v>26</v>
      </c>
      <c r="G19" s="44" t="s">
        <v>4</v>
      </c>
      <c r="H19" s="44" t="s">
        <v>5</v>
      </c>
    </row>
    <row r="20" spans="2:8" ht="20.100000000000001" customHeight="1" x14ac:dyDescent="0.2">
      <c r="B20" s="8" t="s">
        <v>16</v>
      </c>
      <c r="C20" s="4"/>
      <c r="D20" s="4"/>
      <c r="F20" s="8" t="s">
        <v>42</v>
      </c>
      <c r="G20" s="4"/>
      <c r="H20" s="5"/>
    </row>
    <row r="21" spans="2:8" ht="20.100000000000001" customHeight="1" x14ac:dyDescent="0.2">
      <c r="B21" s="8" t="s">
        <v>17</v>
      </c>
      <c r="C21" s="4"/>
      <c r="D21" s="4"/>
      <c r="F21" s="8" t="s">
        <v>27</v>
      </c>
      <c r="G21" s="6">
        <v>100</v>
      </c>
      <c r="H21" s="5">
        <v>100</v>
      </c>
    </row>
    <row r="22" spans="2:8" ht="20.100000000000001" customHeight="1" x14ac:dyDescent="0.2">
      <c r="B22" s="33" t="s">
        <v>34</v>
      </c>
      <c r="C22" s="34">
        <f>SUBTOTAL(109,DecorationsExpenses[Estimated])</f>
        <v>200</v>
      </c>
      <c r="D22" s="34">
        <f>SUBTOTAL(109,DecorationsExpenses[Actual])</f>
        <v>100</v>
      </c>
      <c r="F22" s="33" t="s">
        <v>34</v>
      </c>
      <c r="G22" s="47">
        <f>SUBTOTAL(109,PrizesExpenses[Estimated])</f>
        <v>100</v>
      </c>
      <c r="H22" s="46">
        <f>SUBTOTAL(109,PrizesExpenses[Actual])</f>
        <v>100</v>
      </c>
    </row>
    <row r="23" spans="2:8" ht="20.100000000000001" customHeight="1" x14ac:dyDescent="0.2">
      <c r="B23" s="23"/>
      <c r="C23" s="23"/>
      <c r="D23" s="23"/>
      <c r="F23" s="23"/>
      <c r="G23" s="23"/>
      <c r="H23" s="23"/>
    </row>
    <row r="24" spans="2:8" ht="20.100000000000001" customHeight="1" x14ac:dyDescent="0.2">
      <c r="B24" s="40" t="s">
        <v>6</v>
      </c>
      <c r="C24" s="44" t="s">
        <v>4</v>
      </c>
      <c r="D24" s="44" t="s">
        <v>5</v>
      </c>
      <c r="F24" s="40" t="s">
        <v>28</v>
      </c>
      <c r="G24" s="44" t="s">
        <v>4</v>
      </c>
      <c r="H24" s="44" t="s">
        <v>5</v>
      </c>
    </row>
    <row r="25" spans="2:8" ht="20.100000000000001" customHeight="1" x14ac:dyDescent="0.2">
      <c r="B25" s="8" t="s">
        <v>7</v>
      </c>
      <c r="C25" s="4"/>
      <c r="D25" s="5"/>
      <c r="F25" s="8" t="s">
        <v>29</v>
      </c>
      <c r="G25" s="4">
        <v>50</v>
      </c>
      <c r="H25" s="5">
        <v>50</v>
      </c>
    </row>
    <row r="26" spans="2:8" ht="20.100000000000001" customHeight="1" x14ac:dyDescent="0.2">
      <c r="B26" s="8" t="s">
        <v>8</v>
      </c>
      <c r="C26" s="4">
        <v>220</v>
      </c>
      <c r="D26" s="5">
        <v>120</v>
      </c>
      <c r="F26" s="8" t="s">
        <v>30</v>
      </c>
      <c r="G26" s="4">
        <v>20</v>
      </c>
      <c r="H26" s="5">
        <v>20</v>
      </c>
    </row>
    <row r="27" spans="2:8" ht="20.100000000000001" customHeight="1" x14ac:dyDescent="0.2">
      <c r="B27" s="8" t="s">
        <v>9</v>
      </c>
      <c r="C27" s="4">
        <v>80</v>
      </c>
      <c r="D27" s="5">
        <v>80</v>
      </c>
      <c r="F27" s="8" t="s">
        <v>31</v>
      </c>
      <c r="G27" s="4"/>
      <c r="H27" s="5"/>
    </row>
    <row r="28" spans="2:8" ht="20.100000000000001" customHeight="1" x14ac:dyDescent="0.2">
      <c r="B28" s="8" t="s">
        <v>10</v>
      </c>
      <c r="C28" s="4"/>
      <c r="D28" s="5"/>
      <c r="F28" s="8" t="s">
        <v>32</v>
      </c>
      <c r="G28" s="4"/>
      <c r="H28" s="5"/>
    </row>
    <row r="29" spans="2:8" ht="20.100000000000001" customHeight="1" x14ac:dyDescent="0.2">
      <c r="B29" s="33" t="s">
        <v>34</v>
      </c>
      <c r="C29" s="34">
        <f>SUBTOTAL(109,RefreshmentsExpenses[Estimated])</f>
        <v>300</v>
      </c>
      <c r="D29" s="46">
        <f>SUBTOTAL(109,RefreshmentsExpenses[Actual])</f>
        <v>200</v>
      </c>
      <c r="F29" s="33" t="s">
        <v>34</v>
      </c>
      <c r="G29" s="34">
        <f>SUBTOTAL(109,MiscellaneousExpenses[Estimated])</f>
        <v>70</v>
      </c>
      <c r="H29" s="46">
        <f>SUBTOTAL(109,MiscellaneousExpenses[Actual])</f>
        <v>70</v>
      </c>
    </row>
    <row r="30" spans="2:8" ht="20.100000000000001" customHeight="1" x14ac:dyDescent="0.2">
      <c r="B30" s="1"/>
    </row>
    <row r="31" spans="2:8" ht="20.100000000000001" customHeight="1" x14ac:dyDescent="0.2">
      <c r="B31" s="1"/>
    </row>
    <row r="32" spans="2:8" ht="20.100000000000001" customHeight="1" x14ac:dyDescent="0.2">
      <c r="B32" s="1"/>
    </row>
    <row r="34" spans="2:2" ht="20.100000000000001" customHeight="1" x14ac:dyDescent="0.2">
      <c r="B34" s="1"/>
    </row>
    <row r="35" spans="2:2" ht="20.100000000000001" customHeight="1" x14ac:dyDescent="0.2">
      <c r="B35" s="1"/>
    </row>
    <row r="36" spans="2:2" ht="20.100000000000001" customHeight="1" x14ac:dyDescent="0.2">
      <c r="B36" s="1"/>
    </row>
    <row r="37" spans="2:2" ht="20.100000000000001" customHeight="1" x14ac:dyDescent="0.2">
      <c r="B37" s="1"/>
    </row>
    <row r="38" spans="2:2" ht="20.100000000000001" customHeight="1" x14ac:dyDescent="0.2">
      <c r="B38" s="1"/>
    </row>
  </sheetData>
  <mergeCells count="7">
    <mergeCell ref="B4:H4"/>
    <mergeCell ref="F12:H12"/>
    <mergeCell ref="F18:H18"/>
    <mergeCell ref="F23:H23"/>
    <mergeCell ref="B5:B6"/>
    <mergeCell ref="B15:D15"/>
    <mergeCell ref="B23:D23"/>
  </mergeCells>
  <phoneticPr fontId="1" type="noConversion"/>
  <dataValidations count="9">
    <dataValidation allowBlank="1" showInputMessage="1" showErrorMessage="1" prompt="Enter Event Name in this cell" sqref="B2" xr:uid="{00000000-0002-0000-0000-000000000000}"/>
    <dataValidation allowBlank="1" showInputMessage="1" showErrorMessage="1" prompt="Enter estimated and actual expenses under Site category" sqref="B9" xr:uid="{00000000-0002-0000-0000-000001000000}"/>
    <dataValidation allowBlank="1" showInputMessage="1" showErrorMessage="1" prompt="Enter estimated and actual expenses under Decorations category" sqref="B16" xr:uid="{00000000-0002-0000-0000-000002000000}"/>
    <dataValidation allowBlank="1" showInputMessage="1" showErrorMessage="1" prompt="Enter estimated and actual expenses under Refreshment category" sqref="B24" xr:uid="{00000000-0002-0000-0000-000003000000}"/>
    <dataValidation allowBlank="1" showInputMessage="1" showErrorMessage="1" prompt="Enter estimated and actual expenses under Program category" sqref="F5" xr:uid="{00000000-0002-0000-0000-000004000000}"/>
    <dataValidation allowBlank="1" showInputMessage="1" showErrorMessage="1" prompt="Enter estimated and actual expenses under Publicity category" sqref="F13" xr:uid="{00000000-0002-0000-0000-000005000000}"/>
    <dataValidation allowBlank="1" showInputMessage="1" showErrorMessage="1" prompt="Enter estimated and actual expenses under Prizes category" sqref="F19" xr:uid="{00000000-0002-0000-0000-000006000000}"/>
    <dataValidation allowBlank="1" showInputMessage="1" showErrorMessage="1" prompt="Enter estimated and actual expenses under Miscellaneous category" sqref="F24" xr:uid="{00000000-0002-0000-0000-000007000000}"/>
    <dataValidation allowBlank="1" showInputMessage="1" showErrorMessage="1" promptTitle="Event Budget" prompt="_x000a_Create an Event Budget with profit and loss summary using this workbook._x000a__x000a_Enter Event Name in cell B2._x000a__x000a_Enter Expenses details in this worksheet. Enter Income details in the next worksheet. Profit and Loss Summary will be automatically updated." sqref="A1" xr:uid="{00000000-0002-0000-0000-000008000000}"/>
  </dataValidations>
  <printOptions horizontalCentered="1"/>
  <pageMargins left="0.3" right="0.3" top="0.5" bottom="0.5" header="0.3" footer="0.3"/>
  <pageSetup fitToHeight="0" orientation="portrait" r:id="rId1"/>
  <headerFooter alignWithMargins="0"/>
  <tableParts count="7">
    <tablePart r:id="rId2"/>
    <tablePart r:id="rId3"/>
    <tablePart r:id="rId4"/>
    <tablePart r:id="rId5"/>
    <tablePart r:id="rId6"/>
    <tablePart r:id="rId7"/>
    <tablePart r:id="rId8"/>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70C0"/>
  </sheetPr>
  <dimension ref="B1:H35"/>
  <sheetViews>
    <sheetView showGridLines="0" tabSelected="1" zoomScaleNormal="100" zoomScaleSheetLayoutView="75" workbookViewId="0">
      <selection activeCell="L12" sqref="L12"/>
    </sheetView>
  </sheetViews>
  <sheetFormatPr defaultColWidth="9.140625" defaultRowHeight="18.95" customHeight="1" x14ac:dyDescent="0.2"/>
  <cols>
    <col min="1" max="1" width="1.7109375" style="1" customWidth="1"/>
    <col min="2" max="2" width="21.7109375" style="8" customWidth="1"/>
    <col min="3" max="4" width="12.7109375" style="1" customWidth="1"/>
    <col min="5" max="5" width="16.7109375" style="1" customWidth="1"/>
    <col min="6" max="7" width="17.28515625" style="1" customWidth="1"/>
    <col min="8" max="10" width="1.7109375" style="1" customWidth="1"/>
    <col min="11" max="16384" width="9.140625" style="1"/>
  </cols>
  <sheetData>
    <row r="1" spans="2:8" ht="9" customHeight="1" x14ac:dyDescent="0.2">
      <c r="F1" s="8"/>
      <c r="H1" s="1" t="s">
        <v>40</v>
      </c>
    </row>
    <row r="2" spans="2:8" s="17" customFormat="1" ht="41.25" customHeight="1" x14ac:dyDescent="0.5">
      <c r="B2" s="24" t="str">
        <f>Expenses!B2</f>
        <v>Event Name</v>
      </c>
      <c r="C2" s="25"/>
      <c r="D2" s="25"/>
      <c r="E2" s="25"/>
      <c r="F2" s="35"/>
      <c r="G2" s="35"/>
    </row>
    <row r="3" spans="2:8" s="18" customFormat="1" ht="43.5" customHeight="1" x14ac:dyDescent="0.2">
      <c r="B3" s="36" t="s">
        <v>45</v>
      </c>
      <c r="C3" s="37"/>
      <c r="D3" s="37"/>
      <c r="E3" s="37"/>
      <c r="F3" s="38"/>
      <c r="G3" s="38"/>
    </row>
    <row r="4" spans="2:8" ht="20.100000000000001" customHeight="1" x14ac:dyDescent="0.2">
      <c r="B4" s="9"/>
      <c r="C4" s="2"/>
      <c r="D4" s="2"/>
      <c r="E4" s="3"/>
      <c r="F4" s="3"/>
      <c r="G4" s="3"/>
      <c r="H4" s="2"/>
    </row>
    <row r="5" spans="2:8" ht="20.100000000000001" customHeight="1" x14ac:dyDescent="0.2">
      <c r="B5" s="39" t="s">
        <v>46</v>
      </c>
      <c r="C5" s="44" t="s">
        <v>4</v>
      </c>
      <c r="D5" s="44" t="s">
        <v>5</v>
      </c>
    </row>
    <row r="6" spans="2:8" ht="20.100000000000001" customHeight="1" x14ac:dyDescent="0.2">
      <c r="B6" s="39"/>
      <c r="C6" s="4">
        <f>SUM(Admissions[[#Totals],[Estimated Income]],AdsInProgram[[#Totals],[Estimated Income]],ExhibitorsAndVendors[[#Totals],[Estimated Income]],SaleOfItems[[#Totals],[Estimated Income]])</f>
        <v>4450</v>
      </c>
      <c r="D6" s="4">
        <f>SUM(Admissions[[#Totals],[Actual Income]],AdsInProgram[[#Totals],[Actual Income]],ExhibitorsAndVendors[[#Totals],[Actual Income]],SaleOfItems[[#Totals],[Actual Income]])</f>
        <v>4170</v>
      </c>
    </row>
    <row r="7" spans="2:8" ht="20.100000000000001" customHeight="1" x14ac:dyDescent="0.2">
      <c r="C7" s="4"/>
      <c r="D7" s="4"/>
      <c r="E7" s="7"/>
    </row>
    <row r="8" spans="2:8" ht="18.95" customHeight="1" x14ac:dyDescent="0.2">
      <c r="B8" s="40" t="s">
        <v>47</v>
      </c>
      <c r="C8" s="41"/>
      <c r="D8" s="41"/>
      <c r="E8" s="41"/>
      <c r="F8" s="41"/>
      <c r="G8" s="41"/>
    </row>
    <row r="9" spans="2:8" ht="18.95" customHeight="1" x14ac:dyDescent="0.2">
      <c r="B9" s="42" t="s">
        <v>35</v>
      </c>
      <c r="C9" s="43" t="s">
        <v>4</v>
      </c>
      <c r="D9" s="43" t="s">
        <v>5</v>
      </c>
      <c r="E9" s="43" t="s">
        <v>38</v>
      </c>
      <c r="F9" s="43" t="s">
        <v>36</v>
      </c>
      <c r="G9" s="43" t="s">
        <v>37</v>
      </c>
    </row>
    <row r="10" spans="2:8" ht="18.95" customHeight="1" x14ac:dyDescent="0.2">
      <c r="B10" s="8" t="s">
        <v>50</v>
      </c>
      <c r="C10" s="1">
        <v>30</v>
      </c>
      <c r="D10" s="1">
        <v>25</v>
      </c>
      <c r="E10" s="4">
        <v>20</v>
      </c>
      <c r="F10" s="4">
        <f>C10*E10</f>
        <v>600</v>
      </c>
      <c r="G10" s="4">
        <f>D10*E10</f>
        <v>500</v>
      </c>
    </row>
    <row r="11" spans="2:8" ht="18.95" customHeight="1" x14ac:dyDescent="0.2">
      <c r="B11" s="8" t="s">
        <v>51</v>
      </c>
      <c r="C11" s="1">
        <v>20</v>
      </c>
      <c r="D11" s="1">
        <v>22</v>
      </c>
      <c r="E11" s="4">
        <v>10</v>
      </c>
      <c r="F11" s="4">
        <f>C11*E11</f>
        <v>200</v>
      </c>
      <c r="G11" s="4">
        <f>D11*E11</f>
        <v>220</v>
      </c>
    </row>
    <row r="12" spans="2:8" ht="18.95" customHeight="1" x14ac:dyDescent="0.2">
      <c r="B12" s="8" t="s">
        <v>33</v>
      </c>
      <c r="C12" s="1">
        <v>10</v>
      </c>
      <c r="D12" s="1">
        <v>10</v>
      </c>
      <c r="E12" s="4">
        <v>10</v>
      </c>
      <c r="F12" s="4">
        <f>C12*E12</f>
        <v>100</v>
      </c>
      <c r="G12" s="4">
        <f>D12*E12</f>
        <v>100</v>
      </c>
    </row>
    <row r="13" spans="2:8" ht="18.95" customHeight="1" x14ac:dyDescent="0.2">
      <c r="B13" s="33" t="s">
        <v>34</v>
      </c>
      <c r="C13" s="44">
        <f>SUBTOTAL(109,Admissions[Estimated])</f>
        <v>60</v>
      </c>
      <c r="D13" s="44">
        <f>SUBTOTAL(109,Admissions[Actual])</f>
        <v>57</v>
      </c>
      <c r="E13" s="34"/>
      <c r="F13" s="34">
        <f>SUBTOTAL(109,Admissions[Estimated Income])</f>
        <v>900</v>
      </c>
      <c r="G13" s="34">
        <f>SUBTOTAL(109,Admissions[Actual Income])</f>
        <v>820</v>
      </c>
    </row>
    <row r="14" spans="2:8" ht="18.95" customHeight="1" x14ac:dyDescent="0.2">
      <c r="B14" s="23"/>
      <c r="C14" s="23"/>
      <c r="D14" s="23"/>
      <c r="E14" s="23"/>
      <c r="F14" s="23"/>
      <c r="G14" s="23"/>
    </row>
    <row r="15" spans="2:8" ht="18.95" customHeight="1" x14ac:dyDescent="0.2">
      <c r="B15" s="40" t="s">
        <v>48</v>
      </c>
      <c r="C15" s="41"/>
      <c r="D15" s="41"/>
      <c r="E15" s="41"/>
      <c r="F15" s="41"/>
      <c r="G15" s="41"/>
    </row>
    <row r="16" spans="2:8" ht="18.95" customHeight="1" x14ac:dyDescent="0.2">
      <c r="B16" s="42" t="s">
        <v>35</v>
      </c>
      <c r="C16" s="43" t="s">
        <v>4</v>
      </c>
      <c r="D16" s="43" t="s">
        <v>5</v>
      </c>
      <c r="E16" s="43" t="s">
        <v>38</v>
      </c>
      <c r="F16" s="43" t="s">
        <v>36</v>
      </c>
      <c r="G16" s="43" t="s">
        <v>37</v>
      </c>
    </row>
    <row r="17" spans="2:7" ht="18.95" customHeight="1" x14ac:dyDescent="0.2">
      <c r="B17" s="8" t="s">
        <v>52</v>
      </c>
      <c r="C17" s="1">
        <v>2</v>
      </c>
      <c r="D17" s="1">
        <v>4</v>
      </c>
      <c r="E17" s="4">
        <v>50</v>
      </c>
      <c r="F17" s="4">
        <f>C17*E17</f>
        <v>100</v>
      </c>
      <c r="G17" s="4">
        <f>D17*E17</f>
        <v>200</v>
      </c>
    </row>
    <row r="18" spans="2:7" ht="18.95" customHeight="1" x14ac:dyDescent="0.2">
      <c r="B18" s="8" t="s">
        <v>53</v>
      </c>
      <c r="C18" s="1">
        <v>2</v>
      </c>
      <c r="D18" s="1">
        <v>2</v>
      </c>
      <c r="E18" s="4">
        <v>30</v>
      </c>
      <c r="F18" s="4">
        <f>C18*E18</f>
        <v>60</v>
      </c>
      <c r="G18" s="4">
        <f>D18*E18</f>
        <v>60</v>
      </c>
    </row>
    <row r="19" spans="2:7" ht="18.95" customHeight="1" x14ac:dyDescent="0.2">
      <c r="B19" s="8" t="s">
        <v>54</v>
      </c>
      <c r="C19" s="1">
        <v>2</v>
      </c>
      <c r="D19" s="1">
        <v>2</v>
      </c>
      <c r="E19" s="4">
        <v>20</v>
      </c>
      <c r="F19" s="4">
        <f>C19*E19</f>
        <v>40</v>
      </c>
      <c r="G19" s="4">
        <f>D19*E19</f>
        <v>40</v>
      </c>
    </row>
    <row r="20" spans="2:7" ht="18.95" customHeight="1" x14ac:dyDescent="0.2">
      <c r="B20" s="33" t="s">
        <v>34</v>
      </c>
      <c r="C20" s="44">
        <f>SUBTOTAL(109,AdsInProgram[Estimated])</f>
        <v>6</v>
      </c>
      <c r="D20" s="44">
        <f>SUBTOTAL(109,AdsInProgram[Actual])</f>
        <v>8</v>
      </c>
      <c r="E20" s="44"/>
      <c r="F20" s="34">
        <f>SUBTOTAL(109,AdsInProgram[Estimated Income])</f>
        <v>200</v>
      </c>
      <c r="G20" s="34">
        <f>SUBTOTAL(109,AdsInProgram[Actual Income])</f>
        <v>300</v>
      </c>
    </row>
    <row r="21" spans="2:7" ht="18.95" customHeight="1" x14ac:dyDescent="0.2">
      <c r="B21" s="23"/>
      <c r="C21" s="23"/>
      <c r="D21" s="23"/>
      <c r="E21" s="23"/>
      <c r="F21" s="23"/>
      <c r="G21" s="23"/>
    </row>
    <row r="22" spans="2:7" ht="18.95" customHeight="1" x14ac:dyDescent="0.2">
      <c r="B22" s="40" t="s">
        <v>49</v>
      </c>
      <c r="C22" s="41"/>
      <c r="D22" s="41"/>
      <c r="E22" s="41"/>
      <c r="F22" s="41"/>
      <c r="G22" s="41"/>
    </row>
    <row r="23" spans="2:7" ht="18.95" customHeight="1" x14ac:dyDescent="0.2">
      <c r="B23" s="42" t="s">
        <v>35</v>
      </c>
      <c r="C23" s="43" t="s">
        <v>4</v>
      </c>
      <c r="D23" s="43" t="s">
        <v>5</v>
      </c>
      <c r="E23" s="43" t="s">
        <v>38</v>
      </c>
      <c r="F23" s="43" t="s">
        <v>36</v>
      </c>
      <c r="G23" s="43" t="s">
        <v>37</v>
      </c>
    </row>
    <row r="24" spans="2:7" ht="18.95" customHeight="1" x14ac:dyDescent="0.2">
      <c r="B24" s="8" t="s">
        <v>55</v>
      </c>
      <c r="C24" s="1">
        <v>5</v>
      </c>
      <c r="D24" s="1">
        <v>5</v>
      </c>
      <c r="E24" s="4">
        <v>300</v>
      </c>
      <c r="F24" s="4">
        <f>C24*E24</f>
        <v>1500</v>
      </c>
      <c r="G24" s="4">
        <f>D24*E24</f>
        <v>1500</v>
      </c>
    </row>
    <row r="25" spans="2:7" ht="18.95" customHeight="1" x14ac:dyDescent="0.2">
      <c r="B25" s="8" t="s">
        <v>56</v>
      </c>
      <c r="C25" s="1">
        <v>5</v>
      </c>
      <c r="D25" s="1">
        <v>4</v>
      </c>
      <c r="E25" s="4">
        <v>200</v>
      </c>
      <c r="F25" s="4">
        <f>C25*E25</f>
        <v>1000</v>
      </c>
      <c r="G25" s="4">
        <f>D25*E25</f>
        <v>800</v>
      </c>
    </row>
    <row r="26" spans="2:7" ht="18.95" customHeight="1" x14ac:dyDescent="0.2">
      <c r="B26" s="8" t="s">
        <v>57</v>
      </c>
      <c r="C26" s="1">
        <v>1</v>
      </c>
      <c r="D26" s="1">
        <v>0</v>
      </c>
      <c r="E26" s="4">
        <v>100</v>
      </c>
      <c r="F26" s="4">
        <f>C26*E26</f>
        <v>100</v>
      </c>
      <c r="G26" s="4">
        <f>D26*E26</f>
        <v>0</v>
      </c>
    </row>
    <row r="27" spans="2:7" ht="18.95" customHeight="1" x14ac:dyDescent="0.2">
      <c r="B27" s="33" t="s">
        <v>34</v>
      </c>
      <c r="C27" s="44">
        <f>SUBTOTAL(109,ExhibitorsAndVendors[Estimated])</f>
        <v>11</v>
      </c>
      <c r="D27" s="44">
        <f>SUBTOTAL(109,ExhibitorsAndVendors[Actual])</f>
        <v>9</v>
      </c>
      <c r="E27" s="44"/>
      <c r="F27" s="34">
        <f>SUBTOTAL(109,ExhibitorsAndVendors[Estimated Income])</f>
        <v>2600</v>
      </c>
      <c r="G27" s="34">
        <f>SUBTOTAL(109,ExhibitorsAndVendors[Actual Income])</f>
        <v>2300</v>
      </c>
    </row>
    <row r="28" spans="2:7" ht="18.95" customHeight="1" x14ac:dyDescent="0.2">
      <c r="B28" s="23"/>
      <c r="C28" s="23"/>
      <c r="D28" s="23"/>
      <c r="E28" s="23"/>
      <c r="F28" s="23"/>
      <c r="G28" s="23"/>
    </row>
    <row r="29" spans="2:7" ht="18.95" customHeight="1" x14ac:dyDescent="0.2">
      <c r="B29" s="40" t="s">
        <v>62</v>
      </c>
      <c r="C29" s="41"/>
      <c r="D29" s="41"/>
      <c r="E29" s="41"/>
      <c r="F29" s="41"/>
      <c r="G29" s="41"/>
    </row>
    <row r="30" spans="2:7" ht="18.95" customHeight="1" x14ac:dyDescent="0.2">
      <c r="B30" s="42" t="s">
        <v>35</v>
      </c>
      <c r="C30" s="43" t="s">
        <v>4</v>
      </c>
      <c r="D30" s="43" t="s">
        <v>5</v>
      </c>
      <c r="E30" s="43" t="s">
        <v>38</v>
      </c>
      <c r="F30" s="43" t="s">
        <v>36</v>
      </c>
      <c r="G30" s="43" t="s">
        <v>37</v>
      </c>
    </row>
    <row r="31" spans="2:7" ht="18.95" customHeight="1" x14ac:dyDescent="0.2">
      <c r="B31" s="8" t="s">
        <v>58</v>
      </c>
      <c r="C31" s="1">
        <v>2</v>
      </c>
      <c r="D31" s="1">
        <v>2</v>
      </c>
      <c r="E31" s="4">
        <v>150</v>
      </c>
      <c r="F31" s="4">
        <f>C31*E31</f>
        <v>300</v>
      </c>
      <c r="G31" s="4">
        <f>D31*E31</f>
        <v>300</v>
      </c>
    </row>
    <row r="32" spans="2:7" ht="18.95" customHeight="1" x14ac:dyDescent="0.2">
      <c r="B32" s="8" t="s">
        <v>59</v>
      </c>
      <c r="C32" s="1">
        <v>5</v>
      </c>
      <c r="D32" s="1">
        <v>5</v>
      </c>
      <c r="E32" s="4">
        <v>50</v>
      </c>
      <c r="F32" s="4">
        <f>C32*E32</f>
        <v>250</v>
      </c>
      <c r="G32" s="4">
        <f>D32*E32</f>
        <v>250</v>
      </c>
    </row>
    <row r="33" spans="2:7" ht="18.95" customHeight="1" x14ac:dyDescent="0.2">
      <c r="B33" s="8" t="s">
        <v>60</v>
      </c>
      <c r="C33" s="1">
        <v>5</v>
      </c>
      <c r="D33" s="1">
        <v>5</v>
      </c>
      <c r="E33" s="4">
        <v>20</v>
      </c>
      <c r="F33" s="4">
        <f>C33*E33</f>
        <v>100</v>
      </c>
      <c r="G33" s="4">
        <f>D33*E33</f>
        <v>100</v>
      </c>
    </row>
    <row r="34" spans="2:7" ht="18.95" customHeight="1" x14ac:dyDescent="0.2">
      <c r="B34" s="8" t="s">
        <v>61</v>
      </c>
      <c r="C34" s="1">
        <v>5</v>
      </c>
      <c r="D34" s="1">
        <v>5</v>
      </c>
      <c r="E34" s="4">
        <v>20</v>
      </c>
      <c r="F34" s="4">
        <f>C34*E34</f>
        <v>100</v>
      </c>
      <c r="G34" s="4">
        <f>D34*E34</f>
        <v>100</v>
      </c>
    </row>
    <row r="35" spans="2:7" ht="18.95" customHeight="1" x14ac:dyDescent="0.2">
      <c r="B35" s="33" t="s">
        <v>34</v>
      </c>
      <c r="C35" s="44">
        <f>SUBTOTAL(109,SaleOfItems[Estimated])</f>
        <v>17</v>
      </c>
      <c r="D35" s="44">
        <f>SUBTOTAL(109,SaleOfItems[Actual])</f>
        <v>17</v>
      </c>
      <c r="E35" s="44"/>
      <c r="F35" s="34">
        <f>SUBTOTAL(109,SaleOfItems[Estimated Income])</f>
        <v>750</v>
      </c>
      <c r="G35" s="34">
        <f>SUBTOTAL(109,SaleOfItems[Actual Income])</f>
        <v>750</v>
      </c>
    </row>
  </sheetData>
  <mergeCells count="4">
    <mergeCell ref="B28:G28"/>
    <mergeCell ref="B5:B6"/>
    <mergeCell ref="B14:G14"/>
    <mergeCell ref="B21:G21"/>
  </mergeCells>
  <phoneticPr fontId="1" type="noConversion"/>
  <dataValidations count="7">
    <dataValidation allowBlank="1" showInputMessage="1" showErrorMessage="1" prompt="Event Name is automatically updated in this cell" sqref="B2" xr:uid="{00000000-0002-0000-0100-000000000000}"/>
    <dataValidation allowBlank="1" showInputMessage="1" showErrorMessage="1" prompt="Enter Income details in this worksheet" sqref="A1" xr:uid="{00000000-0002-0000-0100-000001000000}"/>
    <dataValidation allowBlank="1" showInputMessage="1" showErrorMessage="1" prompt="Enter estimated, actual, and price vaues under Admissions category" sqref="B8" xr:uid="{00000000-0002-0000-0100-000002000000}"/>
    <dataValidation allowBlank="1" showInputMessage="1" showErrorMessage="1" prompt="Enter estimated, actual, and price vaues under Ads in Program category" sqref="B15" xr:uid="{00000000-0002-0000-0100-000003000000}"/>
    <dataValidation allowBlank="1" showInputMessage="1" showErrorMessage="1" prompt="Enter estimated, actual, and price vaues under Exhibitors / Vendors category" sqref="B22" xr:uid="{00000000-0002-0000-0100-000004000000}"/>
    <dataValidation allowBlank="1" showInputMessage="1" showErrorMessage="1" prompt="Enter estimated, actual, and price vaues under Sale of Items category" sqref="B29" xr:uid="{00000000-0002-0000-0100-000005000000}"/>
    <dataValidation allowBlank="1" showInputMessage="1" showErrorMessage="1" prompt="Values in this column is automatically calculated" sqref="F9:G9 F16:G16 F23:G23 F30:G30" xr:uid="{00000000-0002-0000-0100-000006000000}"/>
  </dataValidations>
  <printOptions horizontalCentered="1"/>
  <pageMargins left="0.3" right="0.3" top="0.5" bottom="0.5" header="0.3" footer="0.3"/>
  <pageSetup fitToHeight="0" orientation="portrait" r:id="rId1"/>
  <headerFooter alignWithMargins="0"/>
  <tableParts count="4">
    <tablePart r:id="rId2"/>
    <tablePart r:id="rId3"/>
    <tablePart r:id="rId4"/>
    <tablePart r:id="rId5"/>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70C0"/>
  </sheetPr>
  <dimension ref="B1:P27"/>
  <sheetViews>
    <sheetView showGridLines="0" zoomScaleNormal="100" workbookViewId="0">
      <selection activeCell="L9" sqref="L9"/>
    </sheetView>
  </sheetViews>
  <sheetFormatPr defaultColWidth="9.140625" defaultRowHeight="21" customHeight="1" x14ac:dyDescent="0.2"/>
  <cols>
    <col min="1" max="1" width="1.7109375" style="1" customWidth="1"/>
    <col min="2" max="2" width="21.7109375" style="8" customWidth="1"/>
    <col min="3" max="4" width="12.7109375" style="1" customWidth="1"/>
    <col min="5" max="5" width="1.7109375" style="1" customWidth="1"/>
    <col min="6" max="6" width="27.7109375" style="1" customWidth="1"/>
    <col min="7" max="7" width="21.85546875" style="1" customWidth="1"/>
    <col min="8" max="10" width="1.7109375" style="1" customWidth="1"/>
    <col min="11" max="11" width="9.140625" style="1"/>
    <col min="12" max="16" width="12.7109375" style="10" customWidth="1"/>
    <col min="17" max="16384" width="9.140625" style="1"/>
  </cols>
  <sheetData>
    <row r="1" spans="2:16" ht="9" customHeight="1" x14ac:dyDescent="0.2">
      <c r="F1" s="8"/>
      <c r="H1" s="1" t="s">
        <v>40</v>
      </c>
    </row>
    <row r="2" spans="2:16" s="19" customFormat="1" ht="41.25" customHeight="1" x14ac:dyDescent="0.5">
      <c r="B2" s="24" t="str">
        <f>Expenses!B2</f>
        <v>Event Name</v>
      </c>
      <c r="C2" s="25"/>
      <c r="D2" s="25"/>
      <c r="E2" s="25"/>
      <c r="F2" s="25"/>
      <c r="G2" s="26"/>
    </row>
    <row r="3" spans="2:16" s="20" customFormat="1" ht="43.5" customHeight="1" x14ac:dyDescent="0.2">
      <c r="B3" s="27" t="s">
        <v>63</v>
      </c>
      <c r="C3" s="28"/>
      <c r="D3" s="28"/>
      <c r="E3" s="28"/>
      <c r="F3" s="28"/>
      <c r="G3" s="29"/>
    </row>
    <row r="4" spans="2:16" ht="20.100000000000001" customHeight="1" x14ac:dyDescent="0.2"/>
    <row r="5" spans="2:16" ht="21" customHeight="1" x14ac:dyDescent="0.2">
      <c r="B5" s="30" t="s">
        <v>64</v>
      </c>
      <c r="C5" s="31" t="s">
        <v>4</v>
      </c>
      <c r="D5" s="31" t="s">
        <v>5</v>
      </c>
      <c r="E5" s="31"/>
      <c r="F5" s="32" t="s">
        <v>71</v>
      </c>
      <c r="G5" s="31"/>
      <c r="L5" s="10" t="s">
        <v>65</v>
      </c>
      <c r="M5" s="11" t="s">
        <v>66</v>
      </c>
      <c r="N5" s="10" t="s">
        <v>4</v>
      </c>
      <c r="O5" s="10" t="s">
        <v>5</v>
      </c>
      <c r="P5" s="10" t="s">
        <v>69</v>
      </c>
    </row>
    <row r="6" spans="2:16" ht="21" customHeight="1" x14ac:dyDescent="0.2">
      <c r="B6" s="8" t="str">
        <f>VLOOKUP(1,$L$6:$O$12,2,FALSE)</f>
        <v>Program</v>
      </c>
      <c r="C6" s="4">
        <f>VLOOKUP(1,$L$6:$O$12,3,FALSE)</f>
        <v>900</v>
      </c>
      <c r="D6" s="4">
        <f>VLOOKUP(1,$L$6:$O$12,4,FALSE)</f>
        <v>700</v>
      </c>
      <c r="L6" s="10">
        <f t="shared" ref="L6:L12" si="0">_xlfn.RANK.AVG(P6,$P$6:$P$12)</f>
        <v>2</v>
      </c>
      <c r="M6" s="11" t="s">
        <v>11</v>
      </c>
      <c r="N6" s="12">
        <f>SiteExpenses[[#Totals],[Estimated]]</f>
        <v>500</v>
      </c>
      <c r="O6" s="12">
        <f>SiteExpenses[[#Totals],[Actual]]</f>
        <v>450</v>
      </c>
      <c r="P6" s="13">
        <f>O6+ROW(O6)/10000</f>
        <v>450.00060000000002</v>
      </c>
    </row>
    <row r="7" spans="2:16" ht="21" customHeight="1" x14ac:dyDescent="0.2">
      <c r="B7" s="8" t="str">
        <f>VLOOKUP(2,$L$6:$O$12,2,FALSE)</f>
        <v>Site</v>
      </c>
      <c r="C7" s="4">
        <f>VLOOKUP(2,$L$6:$O$12,3,FALSE)</f>
        <v>500</v>
      </c>
      <c r="D7" s="4">
        <f>VLOOKUP(2,$L$6:$O$12,4,FALSE)</f>
        <v>450</v>
      </c>
      <c r="L7" s="10">
        <f t="shared" si="0"/>
        <v>5</v>
      </c>
      <c r="M7" s="11" t="s">
        <v>12</v>
      </c>
      <c r="N7" s="12">
        <f>DecorationsExpenses[[#Totals],[Estimated]]</f>
        <v>200</v>
      </c>
      <c r="O7" s="12">
        <f>DecorationsExpenses[[#Totals],[Actual]]</f>
        <v>100</v>
      </c>
      <c r="P7" s="13">
        <f t="shared" ref="P7:P12" si="1">O7+ROW(O7)/10000</f>
        <v>100.00069999999999</v>
      </c>
    </row>
    <row r="8" spans="2:16" ht="21" customHeight="1" x14ac:dyDescent="0.2">
      <c r="B8" s="8" t="str">
        <f>VLOOKUP(3,$L$6:$O$12,2,FALSE)</f>
        <v>Refreshments</v>
      </c>
      <c r="C8" s="4">
        <f>VLOOKUP(3,$L$6:$O$12,3,FALSE)</f>
        <v>300</v>
      </c>
      <c r="D8" s="4">
        <f>VLOOKUP(3,$L$6:$O$12,4,FALSE)</f>
        <v>200</v>
      </c>
      <c r="L8" s="10">
        <f t="shared" si="0"/>
        <v>3</v>
      </c>
      <c r="M8" s="11" t="s">
        <v>6</v>
      </c>
      <c r="N8" s="12">
        <f>RefreshmentsExpenses[[#Totals],[Estimated]]</f>
        <v>300</v>
      </c>
      <c r="O8" s="12">
        <f>RefreshmentsExpenses[[#Totals],[Actual]]</f>
        <v>200</v>
      </c>
      <c r="P8" s="13">
        <f t="shared" si="1"/>
        <v>200.0008</v>
      </c>
    </row>
    <row r="9" spans="2:16" ht="21" customHeight="1" x14ac:dyDescent="0.2">
      <c r="B9" s="8" t="str">
        <f>VLOOKUP(4,$L$6:$O$12,2,FALSE)</f>
        <v>Prizes</v>
      </c>
      <c r="C9" s="4">
        <f>VLOOKUP(4,$L$6:$O$12,3,FALSE)</f>
        <v>100</v>
      </c>
      <c r="D9" s="4">
        <f>VLOOKUP(4,$L$6:$O$12,4,FALSE)</f>
        <v>100</v>
      </c>
      <c r="L9" s="10">
        <f t="shared" si="0"/>
        <v>1</v>
      </c>
      <c r="M9" s="11" t="s">
        <v>22</v>
      </c>
      <c r="N9" s="12">
        <f>ProgramExpenses[[#Totals],[Estimated]]</f>
        <v>900</v>
      </c>
      <c r="O9" s="12">
        <f>ProgramExpenses[[#Totals],[Actual]]</f>
        <v>700</v>
      </c>
      <c r="P9" s="13">
        <f t="shared" si="1"/>
        <v>700.0009</v>
      </c>
    </row>
    <row r="10" spans="2:16" ht="21" customHeight="1" x14ac:dyDescent="0.2">
      <c r="B10" s="8" t="str">
        <f>VLOOKUP(5,$L$6:$O$12,2,FALSE)</f>
        <v>Decorations</v>
      </c>
      <c r="C10" s="4">
        <f>VLOOKUP(5,$L$6:$O$12,3,FALSE)</f>
        <v>200</v>
      </c>
      <c r="D10" s="4">
        <f>VLOOKUP(5,$L$6:$O$12,4,FALSE)</f>
        <v>100</v>
      </c>
      <c r="L10" s="10">
        <f t="shared" si="0"/>
        <v>7</v>
      </c>
      <c r="M10" s="11" t="s">
        <v>23</v>
      </c>
      <c r="N10" s="12">
        <f>PublicityExpenses[[#Totals],[Estimated]]</f>
        <v>20</v>
      </c>
      <c r="O10" s="12">
        <f>PublicityExpenses[[#Totals],[Actual]]</f>
        <v>20</v>
      </c>
      <c r="P10" s="13">
        <f t="shared" si="1"/>
        <v>20.001000000000001</v>
      </c>
    </row>
    <row r="11" spans="2:16" ht="21" customHeight="1" x14ac:dyDescent="0.2">
      <c r="B11" s="8" t="str">
        <f>VLOOKUP(6,$L$6:$O$12,2,FALSE)</f>
        <v>Miscellaneous</v>
      </c>
      <c r="C11" s="4">
        <f>VLOOKUP(6,$L$6:$O$12,3,FALSE)</f>
        <v>70</v>
      </c>
      <c r="D11" s="4">
        <f>VLOOKUP(6,$L$6:$O$12,4,FALSE)</f>
        <v>70</v>
      </c>
      <c r="L11" s="10">
        <f t="shared" si="0"/>
        <v>4</v>
      </c>
      <c r="M11" s="11" t="s">
        <v>26</v>
      </c>
      <c r="N11" s="12">
        <f>PrizesExpenses[[#Totals],[Estimated]]</f>
        <v>100</v>
      </c>
      <c r="O11" s="12">
        <f>PrizesExpenses[[#Totals],[Actual]]</f>
        <v>100</v>
      </c>
      <c r="P11" s="13">
        <f t="shared" si="1"/>
        <v>100.00109999999999</v>
      </c>
    </row>
    <row r="12" spans="2:16" ht="21" customHeight="1" x14ac:dyDescent="0.2">
      <c r="B12" s="8" t="str">
        <f>VLOOKUP(7,$L$6:$O$12,2,FALSE)</f>
        <v>Publicity</v>
      </c>
      <c r="C12" s="4">
        <f>VLOOKUP(7,$L$6:$O$12,3,FALSE)</f>
        <v>20</v>
      </c>
      <c r="D12" s="4">
        <f>VLOOKUP(7,$L$6:$O$12,4,FALSE)</f>
        <v>20</v>
      </c>
      <c r="L12" s="10">
        <f t="shared" si="0"/>
        <v>6</v>
      </c>
      <c r="M12" s="11" t="s">
        <v>28</v>
      </c>
      <c r="N12" s="12">
        <f>MiscellaneousExpenses[[#Totals],[Estimated]]</f>
        <v>70</v>
      </c>
      <c r="O12" s="12">
        <f>MiscellaneousExpenses[[#Totals],[Actual]]</f>
        <v>70</v>
      </c>
      <c r="P12" s="13">
        <f t="shared" si="1"/>
        <v>70.001199999999997</v>
      </c>
    </row>
    <row r="13" spans="2:16" ht="21" customHeight="1" x14ac:dyDescent="0.2">
      <c r="B13" s="33" t="s">
        <v>34</v>
      </c>
      <c r="C13" s="34">
        <f>SUBTOTAL(109,ExpensesSummary[Estimated])</f>
        <v>2090</v>
      </c>
      <c r="D13" s="34">
        <f>SUBTOTAL(109,ExpensesSummary[Actual])</f>
        <v>1640</v>
      </c>
    </row>
    <row r="15" spans="2:16" ht="21" customHeight="1" x14ac:dyDescent="0.2">
      <c r="B15" s="30" t="s">
        <v>67</v>
      </c>
      <c r="C15" s="31" t="s">
        <v>4</v>
      </c>
      <c r="D15" s="31" t="s">
        <v>5</v>
      </c>
      <c r="E15" s="31"/>
      <c r="F15" s="32" t="s">
        <v>37</v>
      </c>
      <c r="G15" s="31"/>
      <c r="L15" s="10" t="s">
        <v>65</v>
      </c>
      <c r="M15" s="11" t="s">
        <v>68</v>
      </c>
      <c r="N15" s="10" t="s">
        <v>4</v>
      </c>
      <c r="O15" s="10" t="s">
        <v>5</v>
      </c>
      <c r="P15" s="10" t="s">
        <v>69</v>
      </c>
    </row>
    <row r="16" spans="2:16" ht="21" customHeight="1" x14ac:dyDescent="0.2">
      <c r="B16" s="8" t="str">
        <f>VLOOKUP(1,$L$16:$O$19,2,FALSE)</f>
        <v>Exhibitors / Vendors</v>
      </c>
      <c r="C16" s="4">
        <f>VLOOKUP(1,$L$16:$O$19,3,FALSE)</f>
        <v>2600</v>
      </c>
      <c r="D16" s="4">
        <f>VLOOKUP(1,$L$16:$O$19,4,FALSE)</f>
        <v>2300</v>
      </c>
      <c r="L16" s="10">
        <f>_xlfn.RANK.AVG(P16,$P$16:$P$19)</f>
        <v>2</v>
      </c>
      <c r="M16" s="14" t="s">
        <v>47</v>
      </c>
      <c r="N16" s="12">
        <f>Admissions[[#Totals],[Estimated Income]]</f>
        <v>900</v>
      </c>
      <c r="O16" s="12">
        <f>Admissions[[#Totals],[Actual Income]]</f>
        <v>820</v>
      </c>
      <c r="P16" s="13">
        <f t="shared" ref="P16:P19" si="2">O16+ROW(O16)/10000</f>
        <v>820.00160000000005</v>
      </c>
    </row>
    <row r="17" spans="2:16" ht="21" customHeight="1" x14ac:dyDescent="0.2">
      <c r="B17" s="8" t="str">
        <f>VLOOKUP(2,$L$16:$O$19,2,FALSE)</f>
        <v>Admissions</v>
      </c>
      <c r="C17" s="4">
        <f>VLOOKUP(2,$L$16:$O$19,3,FALSE)</f>
        <v>900</v>
      </c>
      <c r="D17" s="4">
        <f>VLOOKUP(2,$L$16:$O$19,4,FALSE)</f>
        <v>820</v>
      </c>
      <c r="L17" s="10">
        <f t="shared" ref="L17:L19" si="3">_xlfn.RANK.AVG(P17,$P$16:$P$19)</f>
        <v>4</v>
      </c>
      <c r="M17" s="14" t="s">
        <v>48</v>
      </c>
      <c r="N17" s="12">
        <f>AdsInProgram[[#Totals],[Estimated Income]]</f>
        <v>200</v>
      </c>
      <c r="O17" s="12">
        <f>AdsInProgram[[#Totals],[Actual Income]]</f>
        <v>300</v>
      </c>
      <c r="P17" s="13">
        <f t="shared" si="2"/>
        <v>300.00170000000003</v>
      </c>
    </row>
    <row r="18" spans="2:16" ht="21" customHeight="1" x14ac:dyDescent="0.2">
      <c r="B18" s="8" t="str">
        <f>VLOOKUP(3,$L$16:$O$19,2,FALSE)</f>
        <v>Sales of Items</v>
      </c>
      <c r="C18" s="4">
        <f>VLOOKUP(3,$L$16:$O$19,3,FALSE)</f>
        <v>750</v>
      </c>
      <c r="D18" s="4">
        <f>VLOOKUP(3,$L$16:$O$19,4,FALSE)</f>
        <v>750</v>
      </c>
      <c r="L18" s="10">
        <f t="shared" si="3"/>
        <v>1</v>
      </c>
      <c r="M18" s="14" t="s">
        <v>49</v>
      </c>
      <c r="N18" s="12">
        <f>ExhibitorsAndVendors[[#Totals],[Estimated Income]]</f>
        <v>2600</v>
      </c>
      <c r="O18" s="12">
        <f>ExhibitorsAndVendors[[#Totals],[Actual Income]]</f>
        <v>2300</v>
      </c>
      <c r="P18" s="13">
        <f t="shared" si="2"/>
        <v>2300.0018</v>
      </c>
    </row>
    <row r="19" spans="2:16" ht="21" customHeight="1" x14ac:dyDescent="0.2">
      <c r="B19" s="8" t="str">
        <f>VLOOKUP(4,$L$16:$O$19,2,FALSE)</f>
        <v>Ads in Program</v>
      </c>
      <c r="C19" s="4">
        <f>VLOOKUP(4,$L$16:$O$19,3,FALSE)</f>
        <v>200</v>
      </c>
      <c r="D19" s="4">
        <f>VLOOKUP(4,$L$16:$O$19,4,FALSE)</f>
        <v>300</v>
      </c>
      <c r="L19" s="10">
        <f t="shared" si="3"/>
        <v>3</v>
      </c>
      <c r="M19" s="14" t="s">
        <v>62</v>
      </c>
      <c r="N19" s="12">
        <f>SaleOfItems[[#Totals],[Estimated Income]]</f>
        <v>750</v>
      </c>
      <c r="O19" s="12">
        <f>SaleOfItems[[#Totals],[Actual Income]]</f>
        <v>750</v>
      </c>
      <c r="P19" s="13">
        <f t="shared" si="2"/>
        <v>750.00189999999998</v>
      </c>
    </row>
    <row r="20" spans="2:16" ht="21" customHeight="1" x14ac:dyDescent="0.2">
      <c r="B20" s="33" t="s">
        <v>34</v>
      </c>
      <c r="C20" s="34">
        <f>SUBTOTAL(109,IncomeSummary[Estimated])</f>
        <v>4450</v>
      </c>
      <c r="D20" s="34">
        <f>SUBTOTAL(109,IncomeSummary[Actual])</f>
        <v>4170</v>
      </c>
    </row>
    <row r="22" spans="2:16" ht="21" customHeight="1" x14ac:dyDescent="0.2">
      <c r="B22" s="30" t="s">
        <v>63</v>
      </c>
      <c r="C22" s="31" t="s">
        <v>4</v>
      </c>
      <c r="D22" s="31" t="s">
        <v>5</v>
      </c>
      <c r="E22" s="31"/>
      <c r="F22" s="32"/>
      <c r="G22" s="31"/>
      <c r="M22" s="11"/>
    </row>
    <row r="23" spans="2:16" ht="21" customHeight="1" x14ac:dyDescent="0.2">
      <c r="B23" s="8" t="s">
        <v>46</v>
      </c>
      <c r="C23" s="4">
        <f>IncomeSummary[[#Totals],[Estimated]]</f>
        <v>4450</v>
      </c>
      <c r="D23" s="4">
        <f>IncomeSummary[[#Totals],[Actual]]</f>
        <v>4170</v>
      </c>
    </row>
    <row r="24" spans="2:16" ht="21" customHeight="1" x14ac:dyDescent="0.2">
      <c r="B24" s="8" t="s">
        <v>44</v>
      </c>
      <c r="C24" s="4">
        <f>ExpensesSummary[[#Totals],[Estimated]]</f>
        <v>2090</v>
      </c>
      <c r="D24" s="4">
        <f>ExpensesSummary[[#Totals],[Actual]]</f>
        <v>1640</v>
      </c>
    </row>
    <row r="25" spans="2:16" ht="21" customHeight="1" x14ac:dyDescent="0.2">
      <c r="B25" s="33" t="s">
        <v>70</v>
      </c>
      <c r="C25" s="34">
        <f>C23-C24</f>
        <v>2360</v>
      </c>
      <c r="D25" s="34">
        <f>D23-D24</f>
        <v>2530</v>
      </c>
    </row>
    <row r="27" spans="2:16" ht="21" customHeight="1" x14ac:dyDescent="0.2">
      <c r="B27" s="15" t="s">
        <v>72</v>
      </c>
      <c r="F27" s="16" t="s">
        <v>73</v>
      </c>
    </row>
  </sheetData>
  <phoneticPr fontId="1" type="noConversion"/>
  <dataValidations count="6">
    <dataValidation allowBlank="1" showInputMessage="1" showErrorMessage="1" prompt="Event Name is automatically updated in this cell" sqref="B2" xr:uid="{00000000-0002-0000-0200-000000000000}"/>
    <dataValidation allowBlank="1" showInputMessage="1" showErrorMessage="1" prompt="Table and charts in this worksheet are automatically updated" sqref="A1" xr:uid="{00000000-0002-0000-0200-000001000000}"/>
    <dataValidation allowBlank="1" showInputMessage="1" showErrorMessage="1" prompt="Bar chart summarizing actual expenses in descending order" sqref="F6" xr:uid="{00000000-0002-0000-0200-000002000000}"/>
    <dataValidation allowBlank="1" showInputMessage="1" showErrorMessage="1" prompt="Bar chart summarizing actual income in descending order" sqref="F16" xr:uid="{00000000-0002-0000-0200-000003000000}"/>
    <dataValidation allowBlank="1" showInputMessage="1" showErrorMessage="1" prompt="Bar chart comparing Expenses to Profit (Loss) ratio of estimate vs actual" sqref="B28" xr:uid="{00000000-0002-0000-0200-000004000000}"/>
    <dataValidation allowBlank="1" showInputMessage="1" showErrorMessage="1" prompt="Bar chart comparing estimated and actual costs for income and expenses" sqref="F28" xr:uid="{00000000-0002-0000-0200-000005000000}"/>
  </dataValidations>
  <printOptions horizontalCentered="1"/>
  <pageMargins left="0.3" right="0.3" top="0.5" bottom="0.5" header="0.3" footer="0.3"/>
  <pageSetup orientation="portrait" r:id="rId1"/>
  <headerFooter alignWithMargins="0"/>
  <drawing r:id="rId2"/>
  <tableParts count="3">
    <tablePart r:id="rId3"/>
    <tablePart r:id="rId4"/>
    <tablePart r:id="rId5"/>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ediaServiceKeyPoints xmlns="71af3243-3dd4-4a8d-8c0d-dd76da1f02a5" xsi:nil="true"/>
    <Status xmlns="71af3243-3dd4-4a8d-8c0d-dd76da1f02a5">Not started</Statu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12" ma:contentTypeDescription="Create a new document." ma:contentTypeScope="" ma:versionID="a754d229f0057affa62b555f2ac55d44">
  <xsd:schema xmlns:xsd="http://www.w3.org/2001/XMLSchema" xmlns:xs="http://www.w3.org/2001/XMLSchema" xmlns:p="http://schemas.microsoft.com/office/2006/metadata/properties" xmlns:ns2="71af3243-3dd4-4a8d-8c0d-dd76da1f02a5" xmlns:ns3="16c05727-aa75-4e4a-9b5f-8a80a1165891" targetNamespace="http://schemas.microsoft.com/office/2006/metadata/properties" ma:root="true" ma:fieldsID="c067517bd06b16cb9c9e315ad40fb255" ns2:_="" ns3:_="">
    <xsd:import namespace="71af3243-3dd4-4a8d-8c0d-dd76da1f02a5"/>
    <xsd:import namespace="16c05727-aa75-4e4a-9b5f-8a80a1165891"/>
    <xsd:element name="properties">
      <xsd:complexType>
        <xsd:sequence>
          <xsd:element name="documentManagement">
            <xsd:complexType>
              <xsd:all>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2: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internalName="MediaServiceOCR" ma:readOnly="true">
      <xsd:simpleType>
        <xsd:restriction base="dms:Note">
          <xsd:maxLength value="255"/>
        </xsd:restriction>
      </xsd:simpleType>
    </xsd:element>
    <xsd:element name="MediaServiceAutoTags" ma:index="11" nillable="true" ma:displayName="MediaServiceAutoTags"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fals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Status" ma:index="19" nillable="true" ma:displayName="Status" ma:default="Not started" ma:format="Dropdown" ma:internalName="Status">
      <xsd:simpleType>
        <xsd:restriction base="dms:Choice">
          <xsd:enumeration value="Not started"/>
          <xsd:enumeration value="In Progress"/>
          <xsd:enumeration value="Completed"/>
        </xsd:restrictio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6522102-E3AD-4094-9F5C-9BB68ACF4981}">
  <ds:schemaRefs>
    <ds:schemaRef ds:uri="http://schemas.microsoft.com/office/2006/metadata/properties"/>
    <ds:schemaRef ds:uri="http://schemas.microsoft.com/office/infopath/2007/PartnerControls"/>
    <ds:schemaRef ds:uri="71af3243-3dd4-4a8d-8c0d-dd76da1f02a5"/>
  </ds:schemaRefs>
</ds:datastoreItem>
</file>

<file path=customXml/itemProps2.xml><?xml version="1.0" encoding="utf-8"?>
<ds:datastoreItem xmlns:ds="http://schemas.openxmlformats.org/officeDocument/2006/customXml" ds:itemID="{5C5842B0-84D2-4898-9B49-F36A072FB65A}">
  <ds:schemaRefs>
    <ds:schemaRef ds:uri="http://schemas.microsoft.com/sharepoint/v3/contenttype/forms"/>
  </ds:schemaRefs>
</ds:datastoreItem>
</file>

<file path=customXml/itemProps3.xml><?xml version="1.0" encoding="utf-8"?>
<ds:datastoreItem xmlns:ds="http://schemas.openxmlformats.org/officeDocument/2006/customXml" ds:itemID="{E7E489A9-39FD-49BF-B626-E33696E5F9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1af3243-3dd4-4a8d-8c0d-dd76da1f02a5"/>
    <ds:schemaRef ds:uri="16c05727-aa75-4e4a-9b5f-8a80a116589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TM16410203</Templat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Expenses</vt:lpstr>
      <vt:lpstr>Income</vt:lpstr>
      <vt:lpstr>Profit &amp; Loss Summary</vt:lpstr>
      <vt:lpstr>'Profit &amp; Loss 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2019-05-22T01:13:39Z</dcterms:created>
  <dcterms:modified xsi:type="dcterms:W3CDTF">2022-12-08T13:03:15Z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